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2435" tabRatio="935"/>
  </bookViews>
  <sheets>
    <sheet name="Introducao" sheetId="15" r:id="rId1"/>
    <sheet name="Resultados" sheetId="18" r:id="rId2"/>
    <sheet name="Cronograma" sheetId="16" state="hidden" r:id="rId3"/>
    <sheet name="Comercial" sheetId="1" r:id="rId4"/>
    <sheet name="Financeira" sheetId="6" r:id="rId5"/>
    <sheet name="Recursos_Humanos" sheetId="3" r:id="rId6"/>
    <sheet name="Suprimentos" sheetId="4" r:id="rId7"/>
    <sheet name="Tributária" sheetId="14" r:id="rId8"/>
    <sheet name="Ativos" sheetId="13" r:id="rId9"/>
    <sheet name="Contábil" sheetId="12" r:id="rId10"/>
    <sheet name="Monitoramento" sheetId="17" r:id="rId11"/>
    <sheet name="Cadastro_Redes" sheetId="7" r:id="rId12"/>
    <sheet name="Operacional" sheetId="9" r:id="rId13"/>
    <sheet name="Consumo_Energetico" sheetId="11" r:id="rId14"/>
    <sheet name="Rede_Esgoto" sheetId="8" r:id="rId15"/>
    <sheet name="Qualidade" sheetId="5" r:id="rId16"/>
    <sheet name="TI" sheetId="10" r:id="rId17"/>
  </sheets>
  <definedNames>
    <definedName name="_xlnm._FilterDatabase" localSheetId="11" hidden="1">Cadastro_Redes!$A$9:$O$21</definedName>
    <definedName name="_xlnm._FilterDatabase" localSheetId="3" hidden="1">Comercial!$A$8:$O$25</definedName>
    <definedName name="_xlnm._FilterDatabase" localSheetId="13" hidden="1">Consumo_Energetico!$A$9:$N$9</definedName>
    <definedName name="_xlnm._FilterDatabase" localSheetId="4" hidden="1">Financeira!$A$8:$O$19</definedName>
    <definedName name="_xlnm._FilterDatabase" localSheetId="10" hidden="1">Monitoramento!$A$8:$O$17</definedName>
    <definedName name="_xlnm._FilterDatabase" localSheetId="12" hidden="1">Operacional!$A$9:$O$24</definedName>
    <definedName name="_xlnm._FilterDatabase" localSheetId="15" hidden="1">Qualidade!$A$10:$O$21</definedName>
    <definedName name="_xlnm._FilterDatabase" localSheetId="5" hidden="1">Recursos_Humanos!$A$8:$O$26</definedName>
    <definedName name="_xlnm._FilterDatabase" localSheetId="14" hidden="1">Rede_Esgoto!$A$9:$O$19</definedName>
    <definedName name="_xlnm._FilterDatabase" localSheetId="1" hidden="1">Resultados!$B$2:$I$106</definedName>
    <definedName name="_xlnm._FilterDatabase" localSheetId="6" hidden="1">Suprimentos!$A$8:$O$25</definedName>
    <definedName name="_xlnm._FilterDatabase" localSheetId="16" hidden="1">TI!#REF!</definedName>
    <definedName name="_xlnm.Print_Area" localSheetId="8">Ativos!$A$1:$M$55</definedName>
    <definedName name="_xlnm.Print_Area" localSheetId="11">Cadastro_Redes!$A$1:$M$35</definedName>
    <definedName name="_xlnm.Print_Area" localSheetId="3">Comercial!$A$1:$M$103</definedName>
    <definedName name="_xlnm.Print_Area" localSheetId="13">Consumo_Energetico!$A$1:$M$30</definedName>
    <definedName name="_xlnm.Print_Area" localSheetId="9">Contábil!$A$1:$M$48</definedName>
    <definedName name="_xlnm.Print_Area" localSheetId="2">Cronograma!$A$1:$F$18</definedName>
    <definedName name="_xlnm.Print_Area" localSheetId="4">Financeira!$A$1:$M$33</definedName>
    <definedName name="_xlnm.Print_Area" localSheetId="0">Introducao!$A$1:$AA$58</definedName>
    <definedName name="_xlnm.Print_Area" localSheetId="10">Monitoramento!$A$1:$M$25</definedName>
    <definedName name="_xlnm.Print_Area" localSheetId="12">Operacional!$A$1:$M$79</definedName>
    <definedName name="_xlnm.Print_Area" localSheetId="15">Qualidade!$A$1:$M$40</definedName>
    <definedName name="_xlnm.Print_Area" localSheetId="5">Recursos_Humanos!$A$1:$M$57</definedName>
    <definedName name="_xlnm.Print_Area" localSheetId="14">Rede_Esgoto!$A$1:$M$31</definedName>
    <definedName name="_xlnm.Print_Area" localSheetId="1">Resultados!$A$1:$I$106</definedName>
    <definedName name="_xlnm.Print_Area" localSheetId="6">Suprimentos!$A$1:$M$69</definedName>
    <definedName name="_xlnm.Print_Area" localSheetId="16">TI!$A$1:$M$20</definedName>
    <definedName name="_xlnm.Print_Area" localSheetId="7">Tributária!$A$1:$M$31</definedName>
    <definedName name="_xlnm.Print_Titles" localSheetId="8">Ativos!$8:$8</definedName>
    <definedName name="_xlnm.Print_Titles" localSheetId="11">Cadastro_Redes!$9:$9</definedName>
    <definedName name="_xlnm.Print_Titles" localSheetId="3">Comercial!$8:$8</definedName>
    <definedName name="_xlnm.Print_Titles" localSheetId="13">Consumo_Energetico!$9:$9</definedName>
    <definedName name="_xlnm.Print_Titles" localSheetId="9">Contábil!$8:$8</definedName>
    <definedName name="_xlnm.Print_Titles" localSheetId="4">Financeira!$8:$8</definedName>
    <definedName name="_xlnm.Print_Titles" localSheetId="12">Operacional!$9:$9</definedName>
    <definedName name="_xlnm.Print_Titles" localSheetId="15">Qualidade!$10:$10</definedName>
    <definedName name="_xlnm.Print_Titles" localSheetId="5">Recursos_Humanos!$8:$8</definedName>
    <definedName name="_xlnm.Print_Titles" localSheetId="14">Rede_Esgoto!$9:$9</definedName>
    <definedName name="_xlnm.Print_Titles" localSheetId="1">Resultados!$2:$3</definedName>
    <definedName name="_xlnm.Print_Titles" localSheetId="6">Suprimentos!$8:$8</definedName>
    <definedName name="_xlnm.Print_Titles" localSheetId="16">TI!$9:$9</definedName>
    <definedName name="_xlnm.Print_Titles" localSheetId="7">Tributária!$8:$8</definedName>
  </definedNames>
  <calcPr calcId="152511"/>
</workbook>
</file>

<file path=xl/calcChain.xml><?xml version="1.0" encoding="utf-8"?>
<calcChain xmlns="http://schemas.openxmlformats.org/spreadsheetml/2006/main">
  <c r="F74" i="9" l="1"/>
  <c r="F32" i="5"/>
  <c r="G14" i="4" l="1"/>
  <c r="F32" i="9" l="1"/>
  <c r="A21" i="5" l="1"/>
  <c r="A28" i="9"/>
  <c r="A79" i="9"/>
  <c r="A74" i="9"/>
  <c r="A67" i="9"/>
  <c r="A56" i="9"/>
  <c r="A52" i="9"/>
  <c r="A48" i="9"/>
  <c r="A44" i="9"/>
  <c r="A40" i="9"/>
  <c r="A36" i="9"/>
  <c r="A32" i="9"/>
  <c r="A24" i="9"/>
  <c r="A16" i="9"/>
  <c r="A20" i="10"/>
  <c r="A15" i="10"/>
  <c r="A40" i="5"/>
  <c r="A36" i="5"/>
  <c r="A32" i="5"/>
  <c r="A28" i="5"/>
  <c r="A16" i="5"/>
  <c r="A31" i="8"/>
  <c r="A27" i="8"/>
  <c r="A23" i="8"/>
  <c r="A19" i="8"/>
  <c r="A15" i="8"/>
  <c r="A30" i="11"/>
  <c r="A26" i="11"/>
  <c r="A22" i="11"/>
  <c r="A18" i="11"/>
  <c r="A14" i="11"/>
  <c r="A35" i="7"/>
  <c r="A31" i="7"/>
  <c r="A26" i="7"/>
  <c r="A21" i="7"/>
  <c r="A15" i="7"/>
  <c r="A25" i="17"/>
  <c r="A21" i="17"/>
  <c r="A17" i="17"/>
  <c r="A13" i="17"/>
  <c r="A48" i="12"/>
  <c r="A44" i="12"/>
  <c r="A38" i="12"/>
  <c r="A33" i="12"/>
  <c r="A29" i="12"/>
  <c r="A25" i="12"/>
  <c r="A12" i="12"/>
  <c r="A21" i="12"/>
  <c r="A55" i="13"/>
  <c r="A51" i="13"/>
  <c r="A47" i="13"/>
  <c r="A43" i="13"/>
  <c r="A38" i="13"/>
  <c r="A34" i="13"/>
  <c r="A30" i="13"/>
  <c r="A26" i="13"/>
  <c r="A17" i="13"/>
  <c r="A31" i="14"/>
  <c r="A27" i="14"/>
  <c r="A23" i="14"/>
  <c r="A15" i="14"/>
  <c r="A57" i="4"/>
  <c r="A69" i="4"/>
  <c r="A68" i="4"/>
  <c r="A67" i="4"/>
  <c r="A66" i="4"/>
  <c r="A65" i="4"/>
  <c r="A64" i="4"/>
  <c r="A63" i="4"/>
  <c r="A62" i="4"/>
  <c r="A61" i="4"/>
  <c r="A60" i="4"/>
  <c r="A59" i="4"/>
  <c r="A58" i="4"/>
  <c r="A50" i="4"/>
  <c r="A49" i="4"/>
  <c r="A48" i="4"/>
  <c r="A47" i="4"/>
  <c r="A46" i="4"/>
  <c r="A45" i="4"/>
  <c r="A44" i="4"/>
  <c r="A43" i="4"/>
  <c r="A42" i="4"/>
  <c r="A38" i="4"/>
  <c r="A33" i="4"/>
  <c r="A29" i="4"/>
  <c r="A25" i="4"/>
  <c r="A15" i="4"/>
  <c r="A57" i="3"/>
  <c r="A53" i="3"/>
  <c r="A49" i="3"/>
  <c r="A45" i="3"/>
  <c r="A41" i="3"/>
  <c r="A37" i="3"/>
  <c r="A33" i="3"/>
  <c r="A26" i="3"/>
  <c r="A18" i="3"/>
  <c r="A33" i="6"/>
  <c r="A29" i="6"/>
  <c r="A24" i="6"/>
  <c r="A19" i="6"/>
  <c r="A13" i="6"/>
  <c r="A103" i="1"/>
  <c r="A99" i="1"/>
  <c r="A95" i="1"/>
  <c r="A87" i="1"/>
  <c r="A83" i="1"/>
  <c r="A79" i="1"/>
  <c r="A73" i="1"/>
  <c r="A66" i="1"/>
  <c r="A57" i="1"/>
  <c r="A53" i="1"/>
  <c r="A49" i="1"/>
  <c r="A40" i="1"/>
  <c r="A36" i="1"/>
  <c r="A32" i="1"/>
  <c r="C5" i="16" l="1"/>
  <c r="E17" i="16"/>
  <c r="E13" i="16"/>
  <c r="G25" i="17" l="1"/>
  <c r="F25" i="17"/>
  <c r="G21" i="17"/>
  <c r="F21" i="17"/>
  <c r="G17" i="17"/>
  <c r="F17" i="17"/>
  <c r="I17" i="17" s="1"/>
  <c r="D68" i="18" s="1"/>
  <c r="F12" i="17"/>
  <c r="F13" i="17" s="1"/>
  <c r="H12" i="17"/>
  <c r="G12" i="17"/>
  <c r="F79" i="9"/>
  <c r="F66" i="9"/>
  <c r="G56" i="9"/>
  <c r="F56" i="9"/>
  <c r="I25" i="17" l="1"/>
  <c r="D70" i="18" s="1"/>
  <c r="E70" i="18" s="1"/>
  <c r="H70" i="18"/>
  <c r="G68" i="18"/>
  <c r="F68" i="18"/>
  <c r="E68" i="18"/>
  <c r="H68" i="18"/>
  <c r="I68" i="18"/>
  <c r="G13" i="17"/>
  <c r="I13" i="17" s="1"/>
  <c r="D67" i="18" s="1"/>
  <c r="I21" i="17"/>
  <c r="D69" i="18" s="1"/>
  <c r="I56" i="9"/>
  <c r="D85" i="18" s="1"/>
  <c r="F44" i="9"/>
  <c r="F40" i="9"/>
  <c r="F70" i="18" l="1"/>
  <c r="I70" i="18"/>
  <c r="G70" i="18"/>
  <c r="H85" i="18"/>
  <c r="F85" i="18"/>
  <c r="E85" i="18"/>
  <c r="G85" i="18"/>
  <c r="I85" i="18"/>
  <c r="I69" i="18"/>
  <c r="H69" i="18"/>
  <c r="G69" i="18"/>
  <c r="F69" i="18"/>
  <c r="E69" i="18"/>
  <c r="I67" i="18"/>
  <c r="H67" i="18"/>
  <c r="G67" i="18"/>
  <c r="F67" i="18"/>
  <c r="E67" i="18"/>
  <c r="F79" i="1"/>
  <c r="G78" i="1"/>
  <c r="H79" i="1" s="1"/>
  <c r="I79" i="1" l="1"/>
  <c r="G79" i="1"/>
  <c r="F14" i="10"/>
  <c r="F15" i="10" s="1"/>
  <c r="G31" i="8"/>
  <c r="F31" i="8"/>
  <c r="F27" i="8"/>
  <c r="I27" i="8" s="1"/>
  <c r="D97" i="18" s="1"/>
  <c r="F97" i="18" l="1"/>
  <c r="E97" i="18"/>
  <c r="I97" i="18"/>
  <c r="H97" i="18"/>
  <c r="G97" i="18"/>
  <c r="G23" i="8"/>
  <c r="F23" i="8"/>
  <c r="E16" i="16"/>
  <c r="E12" i="16"/>
  <c r="E10" i="16"/>
  <c r="C15" i="16"/>
  <c r="G26" i="11"/>
  <c r="F26" i="11"/>
  <c r="G18" i="11"/>
  <c r="F18" i="11"/>
  <c r="I23" i="8" l="1"/>
  <c r="D96" i="18" s="1"/>
  <c r="F43" i="12"/>
  <c r="F44" i="12" s="1"/>
  <c r="H43" i="12"/>
  <c r="H44" i="12" s="1"/>
  <c r="G37" i="12"/>
  <c r="G38" i="12" s="1"/>
  <c r="F37" i="12"/>
  <c r="F38" i="12"/>
  <c r="G20" i="12"/>
  <c r="G21" i="12" s="1"/>
  <c r="F11" i="12"/>
  <c r="F12" i="12" s="1"/>
  <c r="H11" i="12"/>
  <c r="H12" i="12" s="1"/>
  <c r="G55" i="13"/>
  <c r="F55" i="13"/>
  <c r="I55" i="13" s="1"/>
  <c r="D58" i="18" s="1"/>
  <c r="G51" i="13"/>
  <c r="F51" i="13"/>
  <c r="H42" i="13"/>
  <c r="H43" i="13" s="1"/>
  <c r="F42" i="13"/>
  <c r="F43" i="13" s="1"/>
  <c r="F16" i="13"/>
  <c r="F17" i="13" s="1"/>
  <c r="I58" i="18" l="1"/>
  <c r="H58" i="18"/>
  <c r="G58" i="18"/>
  <c r="E58" i="18"/>
  <c r="F58" i="18"/>
  <c r="G96" i="18"/>
  <c r="I96" i="18"/>
  <c r="H96" i="18"/>
  <c r="F96" i="18"/>
  <c r="E96" i="18"/>
  <c r="I44" i="12"/>
  <c r="D65" i="18" s="1"/>
  <c r="I38" i="12"/>
  <c r="D64" i="18" s="1"/>
  <c r="I12" i="12"/>
  <c r="D59" i="18" s="1"/>
  <c r="I51" i="13"/>
  <c r="D57" i="18" s="1"/>
  <c r="I43" i="13"/>
  <c r="D55" i="18" s="1"/>
  <c r="G22" i="14"/>
  <c r="G23" i="14" s="1"/>
  <c r="F22" i="14"/>
  <c r="F23" i="14" s="1"/>
  <c r="F64" i="18" l="1"/>
  <c r="E64" i="18"/>
  <c r="I64" i="18"/>
  <c r="H64" i="18"/>
  <c r="G64" i="18"/>
  <c r="I55" i="18"/>
  <c r="H55" i="18"/>
  <c r="G55" i="18"/>
  <c r="F55" i="18"/>
  <c r="E55" i="18"/>
  <c r="I57" i="18"/>
  <c r="H57" i="18"/>
  <c r="G57" i="18"/>
  <c r="F57" i="18"/>
  <c r="E57" i="18"/>
  <c r="G59" i="18"/>
  <c r="F59" i="18"/>
  <c r="E59" i="18"/>
  <c r="I59" i="18"/>
  <c r="H59" i="18"/>
  <c r="I65" i="18"/>
  <c r="H65" i="18"/>
  <c r="G65" i="18"/>
  <c r="F65" i="18"/>
  <c r="E65" i="18"/>
  <c r="I23" i="14"/>
  <c r="D47" i="18" s="1"/>
  <c r="F31" i="14"/>
  <c r="I31" i="14" s="1"/>
  <c r="D49" i="18" s="1"/>
  <c r="F27" i="14"/>
  <c r="I27" i="14" s="1"/>
  <c r="D48" i="18" s="1"/>
  <c r="H14" i="14"/>
  <c r="G14" i="14"/>
  <c r="F14" i="14"/>
  <c r="F15" i="14" s="1"/>
  <c r="F47" i="13"/>
  <c r="F38" i="13"/>
  <c r="I38" i="13" s="1"/>
  <c r="D54" i="18" s="1"/>
  <c r="F34" i="13"/>
  <c r="I34" i="13" s="1"/>
  <c r="D53" i="18" s="1"/>
  <c r="F30" i="13"/>
  <c r="I30" i="13" s="1"/>
  <c r="D52" i="18" s="1"/>
  <c r="G25" i="13"/>
  <c r="G26" i="13" s="1"/>
  <c r="F25" i="13"/>
  <c r="F26" i="13" s="1"/>
  <c r="H16" i="13"/>
  <c r="G16" i="13"/>
  <c r="F48" i="12"/>
  <c r="I48" i="12" s="1"/>
  <c r="D66" i="18" s="1"/>
  <c r="F33" i="12"/>
  <c r="I33" i="12" s="1"/>
  <c r="D63" i="18" s="1"/>
  <c r="F29" i="12"/>
  <c r="I29" i="12" s="1"/>
  <c r="D62" i="18" s="1"/>
  <c r="F25" i="12"/>
  <c r="I25" i="12" s="1"/>
  <c r="D61" i="18" s="1"/>
  <c r="F20" i="12"/>
  <c r="I47" i="13" l="1"/>
  <c r="D56" i="18" s="1"/>
  <c r="I66" i="18"/>
  <c r="H66" i="18"/>
  <c r="G66" i="18"/>
  <c r="F66" i="18"/>
  <c r="E66" i="18"/>
  <c r="I47" i="18"/>
  <c r="H47" i="18"/>
  <c r="G47" i="18"/>
  <c r="F47" i="18"/>
  <c r="E47" i="18"/>
  <c r="I63" i="18"/>
  <c r="H63" i="18"/>
  <c r="G63" i="18"/>
  <c r="F63" i="18"/>
  <c r="E63" i="18"/>
  <c r="F48" i="18"/>
  <c r="E48" i="18"/>
  <c r="I48" i="18"/>
  <c r="G48" i="18"/>
  <c r="H48" i="18"/>
  <c r="H62" i="18"/>
  <c r="G62" i="18"/>
  <c r="F62" i="18"/>
  <c r="E62" i="18"/>
  <c r="I62" i="18"/>
  <c r="H54" i="18"/>
  <c r="G54" i="18"/>
  <c r="F54" i="18"/>
  <c r="E54" i="18"/>
  <c r="I54" i="18"/>
  <c r="E61" i="18"/>
  <c r="I61" i="18"/>
  <c r="F61" i="18"/>
  <c r="H61" i="18"/>
  <c r="G61" i="18"/>
  <c r="I52" i="18"/>
  <c r="H52" i="18"/>
  <c r="G52" i="18"/>
  <c r="F52" i="18"/>
  <c r="E52" i="18"/>
  <c r="I49" i="18"/>
  <c r="H49" i="18"/>
  <c r="G49" i="18"/>
  <c r="F49" i="18"/>
  <c r="E49" i="18"/>
  <c r="E53" i="18"/>
  <c r="I53" i="18"/>
  <c r="H53" i="18"/>
  <c r="F53" i="18"/>
  <c r="G53" i="18"/>
  <c r="F21" i="12"/>
  <c r="I21" i="12" s="1"/>
  <c r="D60" i="18" s="1"/>
  <c r="I26" i="13"/>
  <c r="D51" i="18" s="1"/>
  <c r="G17" i="13"/>
  <c r="I17" i="13" s="1"/>
  <c r="D50" i="18" s="1"/>
  <c r="G15" i="14"/>
  <c r="I15" i="14" s="1"/>
  <c r="D46" i="18" s="1"/>
  <c r="F13" i="11"/>
  <c r="F14" i="11" s="1"/>
  <c r="G13" i="11"/>
  <c r="G14" i="11" s="1"/>
  <c r="F22" i="11"/>
  <c r="I22" i="11" s="1"/>
  <c r="D91" i="18" s="1"/>
  <c r="F30" i="11"/>
  <c r="G30" i="11"/>
  <c r="E56" i="18" l="1"/>
  <c r="G56" i="18"/>
  <c r="I56" i="18"/>
  <c r="F56" i="18"/>
  <c r="H56" i="18"/>
  <c r="I30" i="11"/>
  <c r="D93" i="18" s="1"/>
  <c r="G93" i="18" s="1"/>
  <c r="I60" i="18"/>
  <c r="H60" i="18"/>
  <c r="G60" i="18"/>
  <c r="F60" i="18"/>
  <c r="E60" i="18"/>
  <c r="I50" i="18"/>
  <c r="H50" i="18"/>
  <c r="E50" i="18"/>
  <c r="G50" i="18"/>
  <c r="F50" i="18"/>
  <c r="G51" i="18"/>
  <c r="F51" i="18"/>
  <c r="E51" i="18"/>
  <c r="I51" i="18"/>
  <c r="H51" i="18"/>
  <c r="H91" i="18"/>
  <c r="G91" i="18"/>
  <c r="E91" i="18"/>
  <c r="I91" i="18"/>
  <c r="F91" i="18"/>
  <c r="I46" i="18"/>
  <c r="H46" i="18"/>
  <c r="G46" i="18"/>
  <c r="F46" i="18"/>
  <c r="E46" i="18"/>
  <c r="I26" i="11"/>
  <c r="D92" i="18" s="1"/>
  <c r="I18" i="11"/>
  <c r="D90" i="18" s="1"/>
  <c r="I14" i="11"/>
  <c r="D89" i="18" s="1"/>
  <c r="I15" i="10"/>
  <c r="D105" i="18" s="1"/>
  <c r="F20" i="10"/>
  <c r="I20" i="10" s="1"/>
  <c r="D106" i="18" s="1"/>
  <c r="G20" i="10"/>
  <c r="E93" i="18" l="1"/>
  <c r="H93" i="18"/>
  <c r="I93" i="18"/>
  <c r="F93" i="18"/>
  <c r="I106" i="18"/>
  <c r="H106" i="18"/>
  <c r="G106" i="18"/>
  <c r="F106" i="18"/>
  <c r="E106" i="18"/>
  <c r="F105" i="18"/>
  <c r="E105" i="18"/>
  <c r="I105" i="18"/>
  <c r="G105" i="18"/>
  <c r="H105" i="18"/>
  <c r="F92" i="18"/>
  <c r="E92" i="18"/>
  <c r="I92" i="18"/>
  <c r="H92" i="18"/>
  <c r="G92" i="18"/>
  <c r="H90" i="18"/>
  <c r="G90" i="18"/>
  <c r="E90" i="18"/>
  <c r="F90" i="18"/>
  <c r="I90" i="18"/>
  <c r="I89" i="18"/>
  <c r="H89" i="18"/>
  <c r="G89" i="18"/>
  <c r="F89" i="18"/>
  <c r="E89" i="18"/>
  <c r="F15" i="9"/>
  <c r="G15" i="9"/>
  <c r="F23" i="9"/>
  <c r="G23" i="9"/>
  <c r="F28" i="9"/>
  <c r="I28" i="9" s="1"/>
  <c r="D78" i="18" s="1"/>
  <c r="I32" i="9"/>
  <c r="D79" i="18" s="1"/>
  <c r="F36" i="9"/>
  <c r="I36" i="9" s="1"/>
  <c r="D80" i="18" s="1"/>
  <c r="I40" i="9"/>
  <c r="D81" i="18" s="1"/>
  <c r="I44" i="9"/>
  <c r="D82" i="18" s="1"/>
  <c r="F48" i="9"/>
  <c r="I48" i="9" s="1"/>
  <c r="D83" i="18" s="1"/>
  <c r="F52" i="9"/>
  <c r="I52" i="9" s="1"/>
  <c r="D84" i="18" s="1"/>
  <c r="G66" i="9"/>
  <c r="F67" i="9" s="1"/>
  <c r="F73" i="9"/>
  <c r="G73" i="9"/>
  <c r="G79" i="9"/>
  <c r="I79" i="9" s="1"/>
  <c r="D88" i="18" s="1"/>
  <c r="I79" i="18" l="1"/>
  <c r="E79" i="18"/>
  <c r="H79" i="18"/>
  <c r="G79" i="18"/>
  <c r="F79" i="18"/>
  <c r="G80" i="18"/>
  <c r="F80" i="18"/>
  <c r="H80" i="18"/>
  <c r="E80" i="18"/>
  <c r="I80" i="18"/>
  <c r="I78" i="18"/>
  <c r="H78" i="18"/>
  <c r="G78" i="18"/>
  <c r="F78" i="18"/>
  <c r="E78" i="18"/>
  <c r="E84" i="18"/>
  <c r="I84" i="18"/>
  <c r="H84" i="18"/>
  <c r="G84" i="18"/>
  <c r="F84" i="18"/>
  <c r="I88" i="18"/>
  <c r="G88" i="18"/>
  <c r="F88" i="18"/>
  <c r="E88" i="18"/>
  <c r="H88" i="18"/>
  <c r="H83" i="18"/>
  <c r="G83" i="18"/>
  <c r="I83" i="18"/>
  <c r="F83" i="18"/>
  <c r="E83" i="18"/>
  <c r="G82" i="18"/>
  <c r="E82" i="18"/>
  <c r="I82" i="18"/>
  <c r="H82" i="18"/>
  <c r="F82" i="18"/>
  <c r="I81" i="18"/>
  <c r="H81" i="18"/>
  <c r="G81" i="18"/>
  <c r="F81" i="18"/>
  <c r="E81" i="18"/>
  <c r="I67" i="9"/>
  <c r="D86" i="18" s="1"/>
  <c r="I74" i="9"/>
  <c r="D87" i="18" s="1"/>
  <c r="F24" i="9"/>
  <c r="G24" i="9"/>
  <c r="F16" i="9"/>
  <c r="G16" i="9"/>
  <c r="F14" i="8"/>
  <c r="G14" i="8"/>
  <c r="G15" i="8" s="1"/>
  <c r="F19" i="8"/>
  <c r="I19" i="8" s="1"/>
  <c r="D95" i="18" s="1"/>
  <c r="I16" i="9" l="1"/>
  <c r="D76" i="18" s="1"/>
  <c r="H76" i="18" s="1"/>
  <c r="I86" i="18"/>
  <c r="H86" i="18"/>
  <c r="G86" i="18"/>
  <c r="F86" i="18"/>
  <c r="E86" i="18"/>
  <c r="F87" i="18"/>
  <c r="E87" i="18"/>
  <c r="I87" i="18"/>
  <c r="H87" i="18"/>
  <c r="G87" i="18"/>
  <c r="H95" i="18"/>
  <c r="G95" i="18"/>
  <c r="F95" i="18"/>
  <c r="E95" i="18"/>
  <c r="I95" i="18"/>
  <c r="E76" i="18"/>
  <c r="I76" i="18"/>
  <c r="F76" i="18"/>
  <c r="I24" i="9"/>
  <c r="D77" i="18" s="1"/>
  <c r="I31" i="8"/>
  <c r="D98" i="18" s="1"/>
  <c r="F15" i="8"/>
  <c r="I15" i="8" s="1"/>
  <c r="D94" i="18" s="1"/>
  <c r="G20" i="7"/>
  <c r="G21" i="7" s="1"/>
  <c r="G76" i="18" l="1"/>
  <c r="E94" i="18"/>
  <c r="F94" i="18"/>
  <c r="I94" i="18"/>
  <c r="H94" i="18"/>
  <c r="G94" i="18"/>
  <c r="I98" i="18"/>
  <c r="H98" i="18"/>
  <c r="G98" i="18"/>
  <c r="F98" i="18"/>
  <c r="E98" i="18"/>
  <c r="F77" i="18"/>
  <c r="E77" i="18"/>
  <c r="H77" i="18"/>
  <c r="I77" i="18"/>
  <c r="G77" i="18"/>
  <c r="F35" i="7"/>
  <c r="I35" i="7" s="1"/>
  <c r="D75" i="18" s="1"/>
  <c r="H30" i="7"/>
  <c r="G30" i="7"/>
  <c r="F30" i="7"/>
  <c r="F31" i="7" s="1"/>
  <c r="G25" i="7"/>
  <c r="F25" i="7"/>
  <c r="F20" i="7"/>
  <c r="G14" i="7"/>
  <c r="F14" i="7"/>
  <c r="I75" i="18" l="1"/>
  <c r="H75" i="18"/>
  <c r="G75" i="18"/>
  <c r="F75" i="18"/>
  <c r="E75" i="18"/>
  <c r="G31" i="7"/>
  <c r="I31" i="7"/>
  <c r="D74" i="18" s="1"/>
  <c r="G26" i="7"/>
  <c r="F21" i="7"/>
  <c r="I21" i="7" s="1"/>
  <c r="D72" i="18" s="1"/>
  <c r="F15" i="7"/>
  <c r="G15" i="7"/>
  <c r="F26" i="7"/>
  <c r="I15" i="7" l="1"/>
  <c r="D71" i="18" s="1"/>
  <c r="H72" i="18"/>
  <c r="G72" i="18"/>
  <c r="F72" i="18"/>
  <c r="E72" i="18"/>
  <c r="I72" i="18"/>
  <c r="F74" i="18"/>
  <c r="E74" i="18"/>
  <c r="I74" i="18"/>
  <c r="H74" i="18"/>
  <c r="G74" i="18"/>
  <c r="I71" i="18"/>
  <c r="H71" i="18"/>
  <c r="G71" i="18"/>
  <c r="F71" i="18"/>
  <c r="E71" i="18"/>
  <c r="I26" i="7"/>
  <c r="D73" i="18" s="1"/>
  <c r="F40" i="5"/>
  <c r="I40" i="5" s="1"/>
  <c r="D104" i="18" s="1"/>
  <c r="G36" i="5"/>
  <c r="F36" i="5"/>
  <c r="G32" i="5"/>
  <c r="F15" i="5"/>
  <c r="F16" i="5" s="1"/>
  <c r="F20" i="5"/>
  <c r="F21" i="5" s="1"/>
  <c r="G27" i="5"/>
  <c r="G28" i="5" s="1"/>
  <c r="F27" i="5"/>
  <c r="F28" i="5" s="1"/>
  <c r="G20" i="5"/>
  <c r="G21" i="5" s="1"/>
  <c r="G15" i="5"/>
  <c r="G16" i="5" s="1"/>
  <c r="G65" i="4"/>
  <c r="F65" i="4"/>
  <c r="I65" i="4" l="1"/>
  <c r="D44" i="18" s="1"/>
  <c r="H44" i="18" s="1"/>
  <c r="I73" i="18"/>
  <c r="H73" i="18"/>
  <c r="G73" i="18"/>
  <c r="F73" i="18"/>
  <c r="E73" i="18"/>
  <c r="I104" i="18"/>
  <c r="H104" i="18"/>
  <c r="G104" i="18"/>
  <c r="F104" i="18"/>
  <c r="E104" i="18"/>
  <c r="I32" i="5"/>
  <c r="D102" i="18" s="1"/>
  <c r="I36" i="5"/>
  <c r="D103" i="18" s="1"/>
  <c r="I28" i="5"/>
  <c r="D101" i="18" s="1"/>
  <c r="I21" i="5"/>
  <c r="D100" i="18" s="1"/>
  <c r="I16" i="5"/>
  <c r="D99" i="18" s="1"/>
  <c r="G37" i="4"/>
  <c r="G38" i="4" s="1"/>
  <c r="F38" i="4"/>
  <c r="G29" i="4"/>
  <c r="F29" i="4"/>
  <c r="I29" i="4" s="1"/>
  <c r="D36" i="18" s="1"/>
  <c r="I44" i="18" l="1"/>
  <c r="F44" i="18"/>
  <c r="E44" i="18"/>
  <c r="G44" i="18"/>
  <c r="I101" i="18"/>
  <c r="H101" i="18"/>
  <c r="G101" i="18"/>
  <c r="F101" i="18"/>
  <c r="E101" i="18"/>
  <c r="H103" i="18"/>
  <c r="G103" i="18"/>
  <c r="F103" i="18"/>
  <c r="E103" i="18"/>
  <c r="I103" i="18"/>
  <c r="E36" i="18"/>
  <c r="I36" i="18"/>
  <c r="H36" i="18"/>
  <c r="G36" i="18"/>
  <c r="F36" i="18"/>
  <c r="E102" i="18"/>
  <c r="I102" i="18"/>
  <c r="H102" i="18"/>
  <c r="G102" i="18"/>
  <c r="F102" i="18"/>
  <c r="G100" i="18"/>
  <c r="F100" i="18"/>
  <c r="E100" i="18"/>
  <c r="I100" i="18"/>
  <c r="H100" i="18"/>
  <c r="H99" i="18"/>
  <c r="I99" i="18"/>
  <c r="G99" i="18"/>
  <c r="F99" i="18"/>
  <c r="E99" i="18"/>
  <c r="I38" i="4"/>
  <c r="D38" i="18" s="1"/>
  <c r="G15" i="4"/>
  <c r="G57" i="3"/>
  <c r="F57" i="3"/>
  <c r="I38" i="18" l="1"/>
  <c r="H38" i="18"/>
  <c r="G38" i="18"/>
  <c r="F38" i="18"/>
  <c r="E38" i="18"/>
  <c r="F37" i="3"/>
  <c r="G37" i="3"/>
  <c r="I37" i="3" l="1"/>
  <c r="D28" i="18" s="1"/>
  <c r="E28" i="18" l="1"/>
  <c r="F28" i="18"/>
  <c r="I28" i="18"/>
  <c r="H28" i="18"/>
  <c r="G28" i="18"/>
  <c r="H17" i="3"/>
  <c r="G17" i="3"/>
  <c r="F17" i="3"/>
  <c r="F33" i="6"/>
  <c r="I33" i="6" s="1"/>
  <c r="D24" i="18" s="1"/>
  <c r="E24" i="18" l="1"/>
  <c r="I24" i="18"/>
  <c r="H24" i="18"/>
  <c r="G24" i="18"/>
  <c r="F24" i="18"/>
  <c r="G23" i="6"/>
  <c r="G24" i="6" s="1"/>
  <c r="F12" i="6"/>
  <c r="F13" i="6" s="1"/>
  <c r="F28" i="6"/>
  <c r="F29" i="6" s="1"/>
  <c r="I29" i="6" s="1"/>
  <c r="D23" i="18" s="1"/>
  <c r="F23" i="6"/>
  <c r="F24" i="6" s="1"/>
  <c r="G18" i="6"/>
  <c r="G19" i="6" s="1"/>
  <c r="F18" i="6"/>
  <c r="F19" i="6" s="1"/>
  <c r="H12" i="6"/>
  <c r="G12" i="6"/>
  <c r="I23" i="18" l="1"/>
  <c r="G23" i="18"/>
  <c r="H23" i="18"/>
  <c r="F23" i="18"/>
  <c r="E23" i="18"/>
  <c r="I24" i="6"/>
  <c r="D22" i="18" s="1"/>
  <c r="I19" i="6"/>
  <c r="D21" i="18" s="1"/>
  <c r="G13" i="6"/>
  <c r="I13" i="6" s="1"/>
  <c r="D20" i="18" s="1"/>
  <c r="F69" i="4"/>
  <c r="I69" i="4" s="1"/>
  <c r="D45" i="18" s="1"/>
  <c r="F61" i="4"/>
  <c r="I61" i="4" s="1"/>
  <c r="D43" i="18" s="1"/>
  <c r="F56" i="4"/>
  <c r="F57" i="4" s="1"/>
  <c r="I57" i="4" s="1"/>
  <c r="D42" i="18" s="1"/>
  <c r="F50" i="4"/>
  <c r="I50" i="4" s="1"/>
  <c r="D41" i="18" s="1"/>
  <c r="F46" i="4"/>
  <c r="I46" i="4" s="1"/>
  <c r="D40" i="18" s="1"/>
  <c r="F42" i="4"/>
  <c r="I42" i="4" s="1"/>
  <c r="D39" i="18" s="1"/>
  <c r="F33" i="4"/>
  <c r="I33" i="4" s="1"/>
  <c r="D37" i="18" s="1"/>
  <c r="G24" i="4"/>
  <c r="F24" i="4"/>
  <c r="F14" i="4"/>
  <c r="I57" i="3"/>
  <c r="D33" i="18" s="1"/>
  <c r="F53" i="3"/>
  <c r="I53" i="3" s="1"/>
  <c r="D32" i="18" s="1"/>
  <c r="F49" i="3"/>
  <c r="I49" i="3" s="1"/>
  <c r="D31" i="18" s="1"/>
  <c r="F45" i="3"/>
  <c r="I45" i="3" s="1"/>
  <c r="D30" i="18" s="1"/>
  <c r="F41" i="3"/>
  <c r="I41" i="3" s="1"/>
  <c r="D29" i="18" s="1"/>
  <c r="G32" i="3"/>
  <c r="G33" i="3" s="1"/>
  <c r="F32" i="3"/>
  <c r="F33" i="3" s="1"/>
  <c r="G25" i="3"/>
  <c r="G26" i="3" s="1"/>
  <c r="F25" i="3"/>
  <c r="F26" i="3" s="1"/>
  <c r="G18" i="3"/>
  <c r="F18" i="3"/>
  <c r="G42" i="18" l="1"/>
  <c r="I42" i="18"/>
  <c r="H42" i="18"/>
  <c r="F42" i="18"/>
  <c r="E42" i="18"/>
  <c r="I18" i="3"/>
  <c r="D25" i="18" s="1"/>
  <c r="F25" i="18" s="1"/>
  <c r="I43" i="18"/>
  <c r="H43" i="18"/>
  <c r="G43" i="18"/>
  <c r="F43" i="18"/>
  <c r="E43" i="18"/>
  <c r="H29" i="18"/>
  <c r="G29" i="18"/>
  <c r="F29" i="18"/>
  <c r="E29" i="18"/>
  <c r="I29" i="18"/>
  <c r="H37" i="18"/>
  <c r="G37" i="18"/>
  <c r="I37" i="18"/>
  <c r="F37" i="18"/>
  <c r="E37" i="18"/>
  <c r="F39" i="18"/>
  <c r="E39" i="18"/>
  <c r="I39" i="18"/>
  <c r="G39" i="18"/>
  <c r="H39" i="18"/>
  <c r="I21" i="18"/>
  <c r="E21" i="18"/>
  <c r="H21" i="18"/>
  <c r="G21" i="18"/>
  <c r="F21" i="18"/>
  <c r="I40" i="18"/>
  <c r="H40" i="18"/>
  <c r="G40" i="18"/>
  <c r="F40" i="18"/>
  <c r="E40" i="18"/>
  <c r="G22" i="18"/>
  <c r="F22" i="18"/>
  <c r="E22" i="18"/>
  <c r="H22" i="18"/>
  <c r="I22" i="18"/>
  <c r="I32" i="18"/>
  <c r="H32" i="18"/>
  <c r="G32" i="18"/>
  <c r="F32" i="18"/>
  <c r="E32" i="18"/>
  <c r="I41" i="18"/>
  <c r="H41" i="18"/>
  <c r="E41" i="18"/>
  <c r="G41" i="18"/>
  <c r="F41" i="18"/>
  <c r="I33" i="18"/>
  <c r="H33" i="18"/>
  <c r="G33" i="18"/>
  <c r="E33" i="18"/>
  <c r="F33" i="18"/>
  <c r="F31" i="18"/>
  <c r="E31" i="18"/>
  <c r="G31" i="18"/>
  <c r="I31" i="18"/>
  <c r="H31" i="18"/>
  <c r="H45" i="18"/>
  <c r="G45" i="18"/>
  <c r="F45" i="18"/>
  <c r="E45" i="18"/>
  <c r="I45" i="18"/>
  <c r="I30" i="18"/>
  <c r="H30" i="18"/>
  <c r="G30" i="18"/>
  <c r="F30" i="18"/>
  <c r="E30" i="18"/>
  <c r="E20" i="18"/>
  <c r="F20" i="18"/>
  <c r="H20" i="18"/>
  <c r="G20" i="18"/>
  <c r="I20" i="18"/>
  <c r="G25" i="4"/>
  <c r="F25" i="4"/>
  <c r="F15" i="4"/>
  <c r="I33" i="3"/>
  <c r="D27" i="18" s="1"/>
  <c r="I26" i="3"/>
  <c r="D26" i="18" s="1"/>
  <c r="G25" i="18" l="1"/>
  <c r="H25" i="18"/>
  <c r="E25" i="18"/>
  <c r="I25" i="18"/>
  <c r="I27" i="18"/>
  <c r="H27" i="18"/>
  <c r="G27" i="18"/>
  <c r="F27" i="18"/>
  <c r="E27" i="18"/>
  <c r="G26" i="18"/>
  <c r="F26" i="18"/>
  <c r="E26" i="18"/>
  <c r="H26" i="18"/>
  <c r="I26" i="18"/>
  <c r="I25" i="4"/>
  <c r="D35" i="18" s="1"/>
  <c r="I15" i="4"/>
  <c r="D34" i="18" s="1"/>
  <c r="G103" i="1"/>
  <c r="F103" i="1"/>
  <c r="I103" i="1" s="1"/>
  <c r="D19" i="18" s="1"/>
  <c r="G19" i="18" l="1"/>
  <c r="F19" i="18"/>
  <c r="E19" i="18"/>
  <c r="I19" i="18"/>
  <c r="H19" i="18"/>
  <c r="I35" i="18"/>
  <c r="H35" i="18"/>
  <c r="G35" i="18"/>
  <c r="F35" i="18"/>
  <c r="E35" i="18"/>
  <c r="G34" i="18"/>
  <c r="F34" i="18"/>
  <c r="E34" i="18"/>
  <c r="H34" i="18"/>
  <c r="I34" i="18"/>
  <c r="G99" i="1"/>
  <c r="F99" i="1"/>
  <c r="I99" i="1" l="1"/>
  <c r="D18" i="18" s="1"/>
  <c r="I18" i="18" s="1"/>
  <c r="G94" i="1"/>
  <c r="G95" i="1" s="1"/>
  <c r="F94" i="1"/>
  <c r="F95" i="1" s="1"/>
  <c r="I95" i="1" s="1"/>
  <c r="D17" i="18" s="1"/>
  <c r="G87" i="1"/>
  <c r="F87" i="1"/>
  <c r="I87" i="1" s="1"/>
  <c r="D16" i="18" s="1"/>
  <c r="G18" i="18" l="1"/>
  <c r="H18" i="18"/>
  <c r="E18" i="18"/>
  <c r="F18" i="18"/>
  <c r="F16" i="18"/>
  <c r="E16" i="18"/>
  <c r="G16" i="18"/>
  <c r="I16" i="18"/>
  <c r="H16" i="18"/>
  <c r="I17" i="18"/>
  <c r="F17" i="18"/>
  <c r="H17" i="18"/>
  <c r="G17" i="18"/>
  <c r="E17" i="18"/>
  <c r="G83" i="1"/>
  <c r="F83" i="1"/>
  <c r="I83" i="1" l="1"/>
  <c r="D15" i="18" s="1"/>
  <c r="F72" i="1"/>
  <c r="F73" i="1" s="1"/>
  <c r="G72" i="1"/>
  <c r="I15" i="18" l="1"/>
  <c r="H15" i="18"/>
  <c r="G15" i="18"/>
  <c r="F15" i="18"/>
  <c r="E15" i="18"/>
  <c r="D14" i="18"/>
  <c r="G73" i="1"/>
  <c r="I73" i="1" s="1"/>
  <c r="D13" i="18" s="1"/>
  <c r="E13" i="18" l="1"/>
  <c r="I13" i="18"/>
  <c r="H13" i="18"/>
  <c r="F13" i="18"/>
  <c r="G13" i="18"/>
  <c r="H14" i="18"/>
  <c r="E14" i="18"/>
  <c r="I14" i="18"/>
  <c r="G14" i="18"/>
  <c r="F14" i="18"/>
  <c r="H65" i="1"/>
  <c r="G65" i="1"/>
  <c r="F65" i="1"/>
  <c r="G57" i="1"/>
  <c r="F57" i="1"/>
  <c r="G66" i="1" l="1"/>
  <c r="F66" i="1"/>
  <c r="F53" i="1"/>
  <c r="G48" i="1"/>
  <c r="G49" i="1" s="1"/>
  <c r="F48" i="1"/>
  <c r="F49" i="1" s="1"/>
  <c r="F40" i="1"/>
  <c r="I40" i="1" s="1"/>
  <c r="D8" i="18" s="1"/>
  <c r="F36" i="1"/>
  <c r="I36" i="1" s="1"/>
  <c r="D7" i="18" s="1"/>
  <c r="I53" i="1" l="1"/>
  <c r="D10" i="18" s="1"/>
  <c r="I66" i="1"/>
  <c r="D12" i="18" s="1"/>
  <c r="I12" i="18" s="1"/>
  <c r="I7" i="18"/>
  <c r="H7" i="18"/>
  <c r="G7" i="18"/>
  <c r="F7" i="18"/>
  <c r="E7" i="18"/>
  <c r="F8" i="18"/>
  <c r="E8" i="18"/>
  <c r="I8" i="18"/>
  <c r="H8" i="18"/>
  <c r="G8" i="18"/>
  <c r="I49" i="1"/>
  <c r="D9" i="18" s="1"/>
  <c r="G31" i="1"/>
  <c r="G32" i="1" s="1"/>
  <c r="F31" i="1"/>
  <c r="F32" i="1" s="1"/>
  <c r="G24" i="1"/>
  <c r="G25" i="1" s="1"/>
  <c r="F24" i="1"/>
  <c r="F25" i="1" s="1"/>
  <c r="H16" i="1"/>
  <c r="G16" i="1"/>
  <c r="F16" i="1"/>
  <c r="F17" i="1" s="1"/>
  <c r="G10" i="18" l="1"/>
  <c r="I10" i="18"/>
  <c r="F10" i="18"/>
  <c r="E10" i="18"/>
  <c r="H10" i="18"/>
  <c r="E12" i="18"/>
  <c r="G12" i="18"/>
  <c r="F12" i="18"/>
  <c r="H12" i="18"/>
  <c r="I9" i="18"/>
  <c r="F9" i="18"/>
  <c r="H9" i="18"/>
  <c r="G9" i="18"/>
  <c r="E9" i="18"/>
  <c r="I32" i="1"/>
  <c r="D6" i="18" s="1"/>
  <c r="I25" i="1"/>
  <c r="D5" i="18" s="1"/>
  <c r="G17" i="1"/>
  <c r="I17" i="1" s="1"/>
  <c r="D4" i="18" s="1"/>
  <c r="I57" i="1"/>
  <c r="D11" i="18" s="1"/>
  <c r="G11" i="18" l="1"/>
  <c r="F11" i="18"/>
  <c r="E11" i="18"/>
  <c r="H11" i="18"/>
  <c r="I11" i="18"/>
  <c r="E5" i="18"/>
  <c r="F5" i="18"/>
  <c r="I5" i="18"/>
  <c r="H5" i="18"/>
  <c r="G5" i="18"/>
  <c r="H6" i="18"/>
  <c r="G6" i="18"/>
  <c r="E6" i="18"/>
  <c r="F6" i="18"/>
  <c r="I6" i="18"/>
  <c r="G4" i="18"/>
  <c r="F4" i="18"/>
  <c r="E4" i="18"/>
  <c r="I4" i="18"/>
  <c r="H4" i="18"/>
</calcChain>
</file>

<file path=xl/comments1.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10.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11.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12.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13.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14.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2.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3.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4.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5.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6.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7.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8.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comments9.xml><?xml version="1.0" encoding="utf-8"?>
<comments xmlns="http://schemas.openxmlformats.org/spreadsheetml/2006/main">
  <authors>
    <author>Autor</author>
  </authors>
  <commentList>
    <comment ref="F3" authorId="0" shapeId="0">
      <text>
        <r>
          <rPr>
            <b/>
            <sz val="9"/>
            <color indexed="81"/>
            <rFont val="Segoe UI"/>
            <family val="2"/>
          </rPr>
          <t>Autor:</t>
        </r>
        <r>
          <rPr>
            <sz val="9"/>
            <color indexed="81"/>
            <rFont val="Segoe UI"/>
            <family val="2"/>
          </rPr>
          <t xml:space="preserve">
Dados de entrada. O preenchimento deve ser apenas com "Sim" e "Não".</t>
        </r>
      </text>
    </comment>
    <comment ref="G3" authorId="0" shapeId="0">
      <text>
        <r>
          <rPr>
            <b/>
            <sz val="9"/>
            <color indexed="81"/>
            <rFont val="Segoe UI"/>
            <family val="2"/>
          </rPr>
          <t>Autor:</t>
        </r>
        <r>
          <rPr>
            <sz val="9"/>
            <color indexed="81"/>
            <rFont val="Segoe UI"/>
            <family val="2"/>
          </rPr>
          <t xml:space="preserve">
O cálculo já está parametrizado, não é necessário alterar células com essa formatação.</t>
        </r>
      </text>
    </comment>
    <comment ref="H3" authorId="0" shapeId="0">
      <text>
        <r>
          <rPr>
            <b/>
            <sz val="9"/>
            <color indexed="81"/>
            <rFont val="Segoe UI"/>
            <family val="2"/>
          </rPr>
          <t>Autor:</t>
        </r>
        <r>
          <rPr>
            <sz val="9"/>
            <color indexed="81"/>
            <rFont val="Segoe UI"/>
            <family val="2"/>
          </rPr>
          <t xml:space="preserve">
As células de saída apresentam o resultado da avaliação. Não é necessário alterá-las. São preenchidas automaticamente mediante os registros nas células de entrada.</t>
        </r>
      </text>
    </comment>
  </commentList>
</comments>
</file>

<file path=xl/sharedStrings.xml><?xml version="1.0" encoding="utf-8"?>
<sst xmlns="http://schemas.openxmlformats.org/spreadsheetml/2006/main" count="2884" uniqueCount="980">
  <si>
    <t>Código</t>
  </si>
  <si>
    <t>MP001</t>
  </si>
  <si>
    <t>Processo</t>
  </si>
  <si>
    <t>Comercial</t>
  </si>
  <si>
    <t>Ações</t>
  </si>
  <si>
    <t>Cadastro de hidrômetros</t>
  </si>
  <si>
    <t>Pilar</t>
  </si>
  <si>
    <t>Processos</t>
  </si>
  <si>
    <t>Há normas?</t>
  </si>
  <si>
    <t>Estão atualizadas e divulgadas?</t>
  </si>
  <si>
    <t>Há responsáveis, prazos e descrição?</t>
  </si>
  <si>
    <t>Descrição</t>
  </si>
  <si>
    <t>Auto-Avaliação</t>
  </si>
  <si>
    <t>Nível de Confiança</t>
  </si>
  <si>
    <t>-</t>
  </si>
  <si>
    <t>Sim</t>
  </si>
  <si>
    <t>Não</t>
  </si>
  <si>
    <t>Nível 1</t>
  </si>
  <si>
    <t>Nível 2</t>
  </si>
  <si>
    <t>Nível</t>
  </si>
  <si>
    <t>Elaboração dos demais normativos.</t>
  </si>
  <si>
    <t>Priorizar elaboração de normativos compreendidos como mais relevantes.</t>
  </si>
  <si>
    <t>RESULTADO</t>
  </si>
  <si>
    <t>MP002</t>
  </si>
  <si>
    <t>CONTAGEM (SIM)</t>
  </si>
  <si>
    <t>Descrição de Ações Necessárias por Nível de Confiança</t>
  </si>
  <si>
    <t>Atualização e divulgação dos normativos. Definição de responsáveis e prazos.</t>
  </si>
  <si>
    <t>Cadastro de contratos sob demanda</t>
  </si>
  <si>
    <t>Cadastro de serviços não tarifários</t>
  </si>
  <si>
    <t>Cadastro de usuários com Tarifa Social</t>
  </si>
  <si>
    <t>Cadastro de ligações, economias e imóveis</t>
  </si>
  <si>
    <t>Cadastro e classificação de novos usuários</t>
  </si>
  <si>
    <t>Legenda</t>
  </si>
  <si>
    <t>Entrada</t>
  </si>
  <si>
    <t>Cálculo</t>
  </si>
  <si>
    <t>Saída</t>
  </si>
  <si>
    <t>Fórmulas</t>
  </si>
  <si>
    <t>Resultado</t>
  </si>
  <si>
    <t>Cor e formatação das células:</t>
  </si>
  <si>
    <t>O que elas representam:</t>
  </si>
  <si>
    <t>Nível de Confiança Esperado</t>
  </si>
  <si>
    <t>Pessoas</t>
  </si>
  <si>
    <t>Dentre as atividades destacadas para o processo de cadastro e classificação, levantar as que
são realizadas pelos mesmos profissionais ou áreas da empresa.</t>
  </si>
  <si>
    <t>Há segregação de funções?</t>
  </si>
  <si>
    <t>Faturamento</t>
  </si>
  <si>
    <t>Efetivação do cadastro</t>
  </si>
  <si>
    <t>Arrecadação</t>
  </si>
  <si>
    <t>Corte e Religação</t>
  </si>
  <si>
    <t>Segregação completa (Sim) ou Parcial (Não)</t>
  </si>
  <si>
    <t>Segregar parte das atividades realizadas em profissionais ou áreas distintas.</t>
  </si>
  <si>
    <t>Segregar todas as atividades destacadas em profissionais ou áreas distintas.</t>
  </si>
  <si>
    <t>Tecnologia</t>
  </si>
  <si>
    <t>Clientes com CNPJ / CPF ou inscrição do imóvel em duplicidade</t>
  </si>
  <si>
    <t>Clientes com CNPJ / CPF inválido ou em branco</t>
  </si>
  <si>
    <t>Clientes genéricos (Ex: Consumidor, Cliente).</t>
  </si>
  <si>
    <t>MP003</t>
  </si>
  <si>
    <t>Parametrizar o sistema para realização de consistências automáticas, visando restringir o cadastramento de clientes em duplicidade e/ou preenchimento
incorreto de campos-chave:</t>
  </si>
  <si>
    <t>Há consistências
automáticas?</t>
  </si>
  <si>
    <t>Em todos os campos chave (Sim) ou parcialmente (não)</t>
  </si>
  <si>
    <t>Dentre as travas sistêmicas destacadas, devem ser selecionadas as que possuem maior
criticidade. Depois da priorização, efetuar parametrização no sistema para a realização de consistências automáticas.</t>
  </si>
  <si>
    <t>Efetuar parametrização no sistema para restringir o cadastramento de clientes em duplicidade e o preenchimento incorreto/ incompleto de todos os campos-chave.</t>
  </si>
  <si>
    <t>MP004</t>
  </si>
  <si>
    <t xml:space="preserve"> Efetuar parametrização no sistema para atualização cadastral automática, a partir do encerramento de ordens de serviços por parte de agentes fiscalizadores em campo</t>
  </si>
  <si>
    <t>Atualizar tempestivamente o cadastro com base nas informações verificadas
em campo pelos agentes fiscalizadores, a partir de vínculo sistêmico com o
fechamento da Ordem de Serviço (OS) correspondente</t>
  </si>
  <si>
    <t>Há vínculo entre sistêmico entre OS e cadastro de clientes?</t>
  </si>
  <si>
    <t>MP005</t>
  </si>
  <si>
    <t>Parametrizar o sistema para a realização de críticas automáticas para
cadastramento de clientes no benefício da Tarifa Social, conforme critérios
definidos pela entidade reguladora.</t>
  </si>
  <si>
    <t>Efetuar parametrização no sistema para realização de consistências automáticas quando do cadastramento de clientes no benefício da Tarifa Social, conforme critérios definidos pelas entidades reguladoras.</t>
  </si>
  <si>
    <t>Há automatização para cadastro na Tarifa Social?</t>
  </si>
  <si>
    <t>MP006</t>
  </si>
  <si>
    <t>Monitorar periodicamente a base cadastral, verificando se os usuários estão
enquadrados nos critérios adequados. A revisão cadastral deve analisar a base de cadastro de clientes/imóveis para verificar existência de:</t>
  </si>
  <si>
    <t>Clientes que possuem endereço inválido</t>
  </si>
  <si>
    <t>Clientes que possuem CPF/ CNPJ inválidos</t>
  </si>
  <si>
    <t>Clientes cadastrados com nomes incompletos ou em duplicidade, avaliando CPF/ CNPJ em conjunto com código da ligação/ economia</t>
  </si>
  <si>
    <t>Atribuição inadequada da categoria da ligação/ economia. Ex: Ligação
residencial registrada como comercial, ou pública como industrial;</t>
  </si>
  <si>
    <t xml:space="preserve">Clientes cadastrados indevidamente como beneficiários de Tarifa Social
(cruzar a posição da base cadastral com o cadastro de programas sociais). </t>
  </si>
  <si>
    <t>Há prática de monitoramento periódico?</t>
  </si>
  <si>
    <t>Conforme necessidade/demanda (Não) ou como rotina (Sim)</t>
  </si>
  <si>
    <t>Realizar análises críticas do cadastro conforme necessidade/ demanda.</t>
  </si>
  <si>
    <t>Definir procedimento para o monitoramento periódico da base cadastral, contemplando todas as análises aplicáveis a serem realizadas.</t>
  </si>
  <si>
    <t>Realizar o monitoramento periódico da base
cadastral, conforme procedimento definido.</t>
  </si>
  <si>
    <t>MP007</t>
  </si>
  <si>
    <t>Equipamentos</t>
  </si>
  <si>
    <t xml:space="preserve">Promover a hidrometração nas ligações que ainda não contam com micromedidores, de modo que o índice de hidrometração atinja o percentual de 80%. </t>
  </si>
  <si>
    <t xml:space="preserve"> Promover a hidrometração nas ligações que ainda não contam com micromedidores, de modo que o índice de hidrometração atinja o percentual superior a 95%.</t>
  </si>
  <si>
    <t xml:space="preserve">Promover a hidrometração das ligações ativas de água, incluindo aquelas
que possuem fonte de abastecimento alternativa. </t>
  </si>
  <si>
    <t>Qual o índice de hidrometração do prestador (IN009)?</t>
  </si>
  <si>
    <t xml:space="preserve">Preencher com índice de hidrometração IN009 
(em percentual - 0% a 100%) </t>
  </si>
  <si>
    <t>MP008</t>
  </si>
  <si>
    <t>Realizar o registro das datas de instalação e de verificação no cadastro de hidrômetros.</t>
  </si>
  <si>
    <t>Definir procedimento para verificação ou troca periódica dos hidrômetros.</t>
  </si>
  <si>
    <t>Cumprir o procedimento de verificação ou troca periódica de hidrômetros, de modo que o tempo médio do parque não ultrapasse o limite de 5 anos.</t>
  </si>
  <si>
    <t>Há procedimento, as datas de instalação e aferição foram registradas?</t>
  </si>
  <si>
    <t>Realizar monitoramento da periodicidade de instalação/ verificação dos hidrômetros. 
(Atenção com o limite de 5 anos para verificação)</t>
  </si>
  <si>
    <t>MP009</t>
  </si>
  <si>
    <t>Definição de cronograma de leitura e de meios de carregamento e retorno
dos dados;</t>
  </si>
  <si>
    <t>Leitura de hidrômetros e faturamento por média e consumo mínimo;</t>
  </si>
  <si>
    <t>Registro de tarifas no sistema comercial</t>
  </si>
  <si>
    <t>Parâmetros para alteração e validação dos dados de leitura e faturamento</t>
  </si>
  <si>
    <t>Retificação e cancelamento de faturas</t>
  </si>
  <si>
    <t>Qual o tempo médio de verificação apurado?
(NÚMERO)</t>
  </si>
  <si>
    <t>MP010</t>
  </si>
  <si>
    <t>Numerais</t>
  </si>
  <si>
    <t>Aprovação de alterações nos dados de leitura</t>
  </si>
  <si>
    <t>Aprovação para retificação de contas</t>
  </si>
  <si>
    <t>Dentre as atividades destacadas, devem ser selecionadas as que possuem maior criticidade para a organização. Elaborar política indicando os níveis e limites de autoridade para as atividades priorizadas do processo de leitura e faturamento.</t>
  </si>
  <si>
    <t>Realizar o levantamento das atividades do processo de leitura e faturamento que não possuem a definição de níveis e limites de autoridade. Atualizar a política com os novos níveis e limites de
autoridade para as atividades levantadas.</t>
  </si>
  <si>
    <t>São definidos limites de autoridade?</t>
  </si>
  <si>
    <t>Aprovação de inclusões ou alterações na estrutura tarifária cadastrada no
sistema de gestão</t>
  </si>
  <si>
    <t>MP011</t>
  </si>
  <si>
    <t>Equipamentos devem atender a mais de 80% das medições</t>
  </si>
  <si>
    <t>Adquirir dispositivos automatizados (microcoletores) para a realização do registro das leituras do consumo de água integrados ao sistema comercial.</t>
  </si>
  <si>
    <t>Realizar parametrização para transmissão imediata dos dados de leitura para o sistema comercial para faturamento automático</t>
  </si>
  <si>
    <t>Desenvolver customização para crítica automática quando do input de valores não usuais (ex: muito superior ou inferior à média histórica).</t>
  </si>
  <si>
    <t>Realizar registro das leituras dos consumidores através de dispositivos automatizados (microcoletores ou PDA’s) integrados ao sistema comercial
com transmissão imediata de dados para faturamento automático e
apresentando críticas quanto aos valores medidos</t>
  </si>
  <si>
    <t>A leitura é realizada de forma digital (Sim) ou manual (Não)?</t>
  </si>
  <si>
    <t>Há integração dos coletores com o sistema comercial?</t>
  </si>
  <si>
    <t>Há
críticas automáticas para
valores atípicos?</t>
  </si>
  <si>
    <t>MP012</t>
  </si>
  <si>
    <t>Realizar o cadastramento dos serviços e taxas vinculados às receitas indiretas no sistema comercial, permitindo que estes sejam faturados pela tabela de preço cadastrada no sistema.</t>
  </si>
  <si>
    <t xml:space="preserve"> Efetuar parametrização no sistema comercial para realizar a cobrança automática do cliente, mediante fechamento da ordem de serviço.</t>
  </si>
  <si>
    <t>Serviços  e taxas estão cadastrados no sistema comercial?</t>
  </si>
  <si>
    <r>
      <t xml:space="preserve">Cadastro de todos os serviços prestados e taxas cobradas vinculados às
</t>
    </r>
    <r>
      <rPr>
        <b/>
        <sz val="11"/>
        <color theme="1"/>
        <rFont val="Calibri"/>
        <family val="2"/>
        <scheme val="minor"/>
      </rPr>
      <t xml:space="preserve">receitas indiretas </t>
    </r>
    <r>
      <rPr>
        <sz val="11"/>
        <color theme="1"/>
        <rFont val="Calibri"/>
        <family val="2"/>
        <scheme val="minor"/>
      </rPr>
      <t>com realização de consistência para cobrança automática
mediante fechamento da ordem de serviço.</t>
    </r>
  </si>
  <si>
    <t>Há cobrança automática mediante fechamento de OS?</t>
  </si>
  <si>
    <t>MP013</t>
  </si>
  <si>
    <t>Parametrizar o sistema comercial para faturamento automático dos clientes com leituras normais (sem impedimento ou irregularidade).</t>
  </si>
  <si>
    <t>Parametrizar o sistema comercial para faturamento automático de todos os tipos de leitura, incluindo aquelas que apresentarem impedimentos ou irregularidades.</t>
  </si>
  <si>
    <t>Realizar faturamento automático dos clientes no sistema de acordo com as
leituras registradas, contratos estabelecidos, consumo médio ou mínimo para os clientes ativos que apresentarem irregularidades na leitura.</t>
  </si>
  <si>
    <t>Faturamento é
realizado de forma automática pelo
sistema comercial?</t>
  </si>
  <si>
    <t>Para todos os tipos de leitura (Sim) ou parcialmente (Não)?</t>
  </si>
  <si>
    <t>MP014</t>
  </si>
  <si>
    <t>Realizar crítica das retificações de conta ocorridas no ciclo de faturamento,
analisando os seguintes aspectos:</t>
  </si>
  <si>
    <t>Retificação de contas em meses recorrentes pelo mesmo imóvel</t>
  </si>
  <si>
    <t>Retificação por motivos recorrentes</t>
  </si>
  <si>
    <t>Realização de cancelamento de contas por meio de retificações (alteração
para um valor muito inferior à conta original, tendendo a zero)</t>
  </si>
  <si>
    <t>Concentração de retificações de contas realizadas por um único usuário, para um mesmo cliente.</t>
  </si>
  <si>
    <t>Há procedimento de análise e retificação de contas?</t>
  </si>
  <si>
    <t>Dentre os aspectos listados na prática, devem ser priorizados os que possuem maior impacto na organização. Definir procedimento com as análises críticas priorizadas. e aplica-las a cada ciclo de
faturamento</t>
  </si>
  <si>
    <t xml:space="preserve"> Atualizar o procedimento para inclusão da(s) análise(s) crítica(s) não contempladas atualmente e aplicala(s) a cada ciclo de faturamento.</t>
  </si>
  <si>
    <t>As análises são realizadas na prática?</t>
  </si>
  <si>
    <t>MP015</t>
  </si>
  <si>
    <t>Efetuar parametrização para que o sistema realize o cálculo automático de juros moratórios e multa de acordo com as políticas de cobrança.</t>
  </si>
  <si>
    <t xml:space="preserve"> Efetuar parametrização no sistema para que os juros e multas calculados sobre valores pagos em atraso sejam cobrados automaticamente no mês subsequente.</t>
  </si>
  <si>
    <t xml:space="preserve">Sistema parametrizado para cálculo automático de multa de mora e juros moratórios, pro-rata-die, de acordo com as políticas de cobrança do prestador e/ou da entidade reguladora.
</t>
  </si>
  <si>
    <t>Sistema calcula juros
e multas automaticamente?</t>
  </si>
  <si>
    <t>Sistema está
parametrizado para cobrança
automática no mês posterior?</t>
  </si>
  <si>
    <t>MP016</t>
  </si>
  <si>
    <t>Possuir rotina de transferência e processamento automático de arquivos
enviados pelos Bancos e Agentes Arrecadadores com acesso restrito ao(s)
diretório(s) de armazenamento e bloqueio para alteração.</t>
  </si>
  <si>
    <t>Parametrizar o sistema de gestão com o layout padrão estabelecido pela FEBRABAN, de forma que seja possível processar os recebimentos através de arquivo eletrônico (remessa) transmitido para os
agentes arrecadadores.</t>
  </si>
  <si>
    <t>Realizar armazenamento dos arquivos enviados aos
agentes arrecadadores em diretório monitorado, com acesso
restrito e sem possibilidade de alteração.</t>
  </si>
  <si>
    <t>Há transferência
eletrônica de dados (EDI) para
processamento dos recebimentos e
baixas dos títulos no contas a
receber?</t>
  </si>
  <si>
    <t>O processo de envio dos
arquivos aos agentes arrecadadores é seguro (documentos armazenados com acesso restrito)?</t>
  </si>
  <si>
    <t>Processo de Gestão Comercial</t>
  </si>
  <si>
    <t>Checklist de Autoavaliação</t>
  </si>
  <si>
    <t>ACERTAR - Melhores Práticas</t>
  </si>
  <si>
    <t>Processo de Gestão de Recursos Humanos</t>
  </si>
  <si>
    <t>MP022</t>
  </si>
  <si>
    <t>Recursos Humanos</t>
  </si>
  <si>
    <t>Devem ser selecionadas as que possuem maior impacto nos resultados da organização. Depois da priorização, os normativos devem ser elaborados e formalmente divulgadas nos meios institucionais de comunicação (Ex: intranet).</t>
  </si>
  <si>
    <t>Admissão de pessoal</t>
  </si>
  <si>
    <t>Gestão do cadastro de colaboradores (inclusões e alterações)</t>
  </si>
  <si>
    <t>Levantamento das atividades destacadas para o processo de gestão de recursos humanos que possuem políticas, normas e/ou procedimentos desatualizados e/ou não divulgados e promover a atualização e/ ou divulgação nos meios institucionais de comunicação (Ex: intranet).</t>
  </si>
  <si>
    <t>Cadastramento e cálculo de benefícios</t>
  </si>
  <si>
    <t>Cálculo de rescisões trabalhistas</t>
  </si>
  <si>
    <t>Cálculo das obrigações e encargos trabalhistas e sociais (contribuições sindicais, horas extras, férias, 13º salário, INSS, FGTS)</t>
  </si>
  <si>
    <t>Fechamento e processamento da folha de pagamentos</t>
  </si>
  <si>
    <t>Contabilização dos valores da folha de pagamentos</t>
  </si>
  <si>
    <t>MP023</t>
  </si>
  <si>
    <t>Registro e manutenção do cadastro de colaboradores</t>
  </si>
  <si>
    <t>Processamento da folha de pagamento e rescisões</t>
  </si>
  <si>
    <t>Conferência e aprovação dos cálculos</t>
  </si>
  <si>
    <t>Contabilização das despesas/custos sobre a folha de pagamento</t>
  </si>
  <si>
    <t>MP024</t>
  </si>
  <si>
    <t>Revisar formalmente o cadastro dos colaboradores a fim de garantir que todas as alterações significativas foram realizadas corretamente no Sistema de Folha de Pagamentos com base em documentação suporte aprovada, considerando:</t>
  </si>
  <si>
    <t>Há procedimento definido?</t>
  </si>
  <si>
    <t>Há revisão periódica?</t>
  </si>
  <si>
    <t>Formalizar procedimento e realizar prática de revisão do cadastro de colaboradores, considerando inclusões e modificações de salário, promoção, dados financeiros e benefícios.</t>
  </si>
  <si>
    <t>Salário (Dissídio Anual)</t>
  </si>
  <si>
    <t>Promoção</t>
  </si>
  <si>
    <t>Benefícios</t>
  </si>
  <si>
    <t>MP025</t>
  </si>
  <si>
    <t>Processos / Tecnologia</t>
  </si>
  <si>
    <t>Realizar revisão e aprovação dos eventos de frequência (horas extras, faltas, atrasos e abonos) e transferi-los automaticamente para o sistema de processamento da folha de pagamentos.</t>
  </si>
  <si>
    <t>Há operacionalização de revisão e aprovação dos eventos?</t>
  </si>
  <si>
    <t>Há parametrização de transferência automática para o sistema?</t>
  </si>
  <si>
    <t>Efetuar parametrização sistêmica para possibilitar a transferência automática das informações referentes aos eventos de frequência para o sistema de processamento da folha de pagamentos.</t>
  </si>
  <si>
    <t>MP026</t>
  </si>
  <si>
    <t>Cálculo automático dos proventos, descontos e encargos sociais e trabalhistas sobre a folha de pagamento.</t>
  </si>
  <si>
    <t>Adquirir sistema / módulo de folha de pagamento que permita a realização do cálculo automático dos proventos, descontos e encargos sociais e trabalhistas, conforme legislação vigente e cadastro de colaboradores.</t>
  </si>
  <si>
    <t>MP027</t>
  </si>
  <si>
    <t>Realizar acompanhamento da legislação trabalhista e previdenciária e atualização tempestiva das regras de cálculo no sistema de folha de pagamentos.</t>
  </si>
  <si>
    <t>Há acompanhamentoperiódico?</t>
  </si>
  <si>
    <t>Formalizar procedimento e realizar prática de acompanhamento periódico da legislação trabalhista e previdenciária, com o objetivo de promover atualizações tempestivas nas regras de cálculo do sistema de folha de pagamento.</t>
  </si>
  <si>
    <t>MP028</t>
  </si>
  <si>
    <t>Efetuar conferência e aprovação formal dos cálculos rescisórios antes do desembolso.</t>
  </si>
  <si>
    <t>Há operacionalização de revisão e aprovação dos cálculos?</t>
  </si>
  <si>
    <t>Formalizar procedimento e realizar prática para a conferência/revisão formal dos cálculos rescisórios antes do desembolso.</t>
  </si>
  <si>
    <t>MP029</t>
  </si>
  <si>
    <t>Realizar revisão e aprovação formal por alçada competente dos valores finais gerados pelo da folha de pagamento, anteriormente ao envio desses dados para registro no contas a pagar e na contabilidade.</t>
  </si>
  <si>
    <t>Formalizar procedimento e realizar prática de revisão e aprovação das folhas de pagamento anterior ao registro no contas a pagar e na contabilidade e por funcionário com atribuições / qualificações compatíveis à esta atividade.</t>
  </si>
  <si>
    <t>MP030</t>
  </si>
  <si>
    <t>Possuir interface entre o sistema de processamento da folha de pagamentos e módulos contábeis para lançamento automático dos valores na contabilidade com segurança adequada.</t>
  </si>
  <si>
    <t>Efetuar parametrização sistêmica para possibilitar a integração dos módulos de folha de pagamentos e contábil para o lançamento automático dos valores na contabilidade.</t>
  </si>
  <si>
    <t>Realizar armazenamento dos arquivos de integração em diretório com acesso restrito e sem possibilidade de alteração.</t>
  </si>
  <si>
    <t>Processo de Gestão de Suprimentos, Compras e Contratos</t>
  </si>
  <si>
    <t>MP031</t>
  </si>
  <si>
    <t>Suprimentos, Compras e Contratos</t>
  </si>
  <si>
    <t>Possuir políticas, procedimentos e normas formalmente definidos, atualizados e divulgados a todos os colaboradores envolvidos, que contemplem, entre outros aspectos, os responsáveis, os prazos e a descrição das atividades críticas dos processos de compras, suprimentos e gestão de contratos, tais como:</t>
  </si>
  <si>
    <t>Devem ser selecionadas as que possuem maior impacto nos resultados da organização. Depois da priorização, os normativos devem ser elaborados e formalmente divulgados nos meios institucionais de comunicação (Ex: intranet).</t>
  </si>
  <si>
    <t>Criação e aprovação de requisições de compra</t>
  </si>
  <si>
    <t>Criação e aprovação de pedidos de compra</t>
  </si>
  <si>
    <t>Levantamento das atividades destacadas para o processo de gestão de suprimentos, compras e contratos que possuem políticas normas e/ou procedimentos desatualizados e/ou não divulgados e promover a atualização e/ ou divulgação nos meios institucionais de comunicação (Ex: intranet).</t>
  </si>
  <si>
    <t>Recebimento físico e fiscal</t>
  </si>
  <si>
    <t>Ateste da prestação de serviços / aprovação de boletins de medição</t>
  </si>
  <si>
    <t>MP032</t>
  </si>
  <si>
    <t>Segregar as funções entre os responsáveis por:</t>
  </si>
  <si>
    <t>Inclusão e manutenção de dados cadastrais (fornecedores, materiais e serviços)</t>
  </si>
  <si>
    <t>Criação, modificação e aprovação de requisições de compra</t>
  </si>
  <si>
    <t>Negociação e efetivação de compras (emissão de pedidos de compra ou de contratos no sistema)</t>
  </si>
  <si>
    <t>Recebimento físico de produtos e mercadorias</t>
  </si>
  <si>
    <t>Ateste dos serviços prestados</t>
  </si>
  <si>
    <t>Recebimento fiscal</t>
  </si>
  <si>
    <t>MP033</t>
  </si>
  <si>
    <t>Vínculo entre os itens dos pedidos de compra / contratos e a respectiva conta do razão e centros de custos, com acesso restrito à funcionários autorizados para manutenção dos dados contábeis</t>
  </si>
  <si>
    <t>Parametrizar o sistema de gestão para permitir o cadastro da conta do razão e objeto de custos em cada item do pedido de compras ou contrato, de forma a permitir que a contabilização seja realizada de forma padronizada e na conta e centro de custos correto no momento da entrada da nota fiscal.</t>
  </si>
  <si>
    <t>Restringir os acessos à inclusão e modificação dos dados contábeis nos pedidos de compra e contratos apenas para funcionários com atribuições compatíveis à esta atividade.</t>
  </si>
  <si>
    <t>MP034</t>
  </si>
  <si>
    <t>Aprovar requisição / solicitação de compra de material ou serviço, conforme limites de alçada, antes do envio à área de compras.</t>
  </si>
  <si>
    <t>Desenvolver e formalizar procedimento para aprovação das solicitações/requisições de compra antes do envio à área de compras, considerando a definição de limites de alçada, caso aplicável.</t>
  </si>
  <si>
    <t>MP035</t>
  </si>
  <si>
    <t>Registrar os contratos e condições negociadas entre a Companhia e o fornecedor/prestador de serviço no sistema aplicativo.</t>
  </si>
  <si>
    <t>Desenvolver ou adquirir funcionalidade para cadastro dos contratos firmados entre o prestador de serviço e os seus fornecedores no sistema de gestão.</t>
  </si>
  <si>
    <t>Efetuar parametrizações sistêmicas para possibilitar a realização de consistências automáticas para controle das condições contratuais negociadas e saldo.</t>
  </si>
  <si>
    <t>MP036</t>
  </si>
  <si>
    <t>Realizar aprovação formal do pedido de compra emitido com base nas informações das requisições / solicitações de compras ou contrato aprovado.</t>
  </si>
  <si>
    <t>Desenvolver e formalizar procedimento para aprovação dos pedidos de compra, com base nas solicitações/requisições de compra ou nos contratos aprovados, e considerando a definição de limites de alçada, caso aplicável.</t>
  </si>
  <si>
    <t>MP037</t>
  </si>
  <si>
    <t>Realizar conferência física dos itens recebidos considerando quantidade, especificações técnicas, condições comerciais, qualidade ou avarias e de acordo com o pedido efetuado ao fornecedor.</t>
  </si>
  <si>
    <t>Desenvolver e formalizar procedimento para a conferência física dos itens recebidos, considerando quantidade, especificações técnicas, condições comerciais, qualidade ou avarias e de acordo com o pedido efetuado ao fornecedor.</t>
  </si>
  <si>
    <t>MP038</t>
  </si>
  <si>
    <t>Atestar formalmente a prestação dos serviços antes do desembolso</t>
  </si>
  <si>
    <t>Desenvolver e formalizar procedimento de ateste formal da prestação dos serviços antes da efetivação do desembolso. A aprovação pode ser via sistema, em formulários, boletins de medição ou na própria nota fiscal de serviço.</t>
  </si>
  <si>
    <t>MP039</t>
  </si>
  <si>
    <t>Possuir consistências automáticas no recebimento de materiais/ serviços, a fim de evitar o registro de notas fiscais que:</t>
  </si>
  <si>
    <t>Efetuar parametrização sistêmica para a realização de consistências automáticas no recebimento de materiais e serviços, a fim de evitar o registro de notas fiscais em parte das condições relacionadas na melhor prática.</t>
  </si>
  <si>
    <t>Não estejam vinculadas a um pedido de compra ou contrato</t>
  </si>
  <si>
    <t>Efetuar parametrização sistêmica para a realização de consistências automáticas no recebimento de materiais e serviços, a fim de evitar o registro de notas fiscais em todas as condições relacionadas na melhor prática.</t>
  </si>
  <si>
    <t>Apresentem quantidade e/ou preço dos itens superiores aos constantes nos pedidos ou contratos.</t>
  </si>
  <si>
    <t>Estejam duplicadas ou com informações incorretas e/ou inadequadas</t>
  </si>
  <si>
    <t>MP040</t>
  </si>
  <si>
    <t>Atualização automática da posição de estoques / ativos, contas a pagar, contabilidade e livros fiscais após o registro do documento fiscal / de cobrança e considerando os dados do pedido / requisição de compras (conta contábil e objeto/centro de custos).</t>
  </si>
  <si>
    <t>Efetuar parametrização sistêmica para permitir a atualização automática da posição de estoques / ativos, contas a pagar, contabilidade e livros fiscais após o registro do documento fiscal / de cobrança e considerando os dados do pedido / requisição de compras (conta contábil e objeto/centro de custos).</t>
  </si>
  <si>
    <t>MP041</t>
  </si>
  <si>
    <t>Possuir requisição eletrônica para retirada de produtos do estoque ou almoxarifado e atualização automática da posição contábil após a baixa.</t>
  </si>
  <si>
    <t>Efetuar parametrização sistêmica para permitir a emissão de requisições eletrônicas para a retirada de produtos do estoque / almoxarifado.</t>
  </si>
  <si>
    <t>Efetuar parametrização sistêmica para possilibtar a atualização automática da posição contábil após a baixa do produto no estoque / almoxarifado.</t>
  </si>
  <si>
    <t>MP042</t>
  </si>
  <si>
    <t>Existir aprovação formal para inclusão de pagamentos não vinculados a pedidos de compra.</t>
  </si>
  <si>
    <t>Desenvolver e formalizar procedimento de solicitação e aprovação dos títulos inseridos diretamente no financeiro. Estes títulos referem-se à solicitações de pagamento que podem não passar pelo processo normal de compras e licitações, como exemplo, reembolsos de viagens, pagamento de taxas,tributos serviços públicos, dentre outros.</t>
  </si>
  <si>
    <t>Processo de Controle da Qualidade da Água</t>
  </si>
  <si>
    <t>Cálculo Parcial</t>
  </si>
  <si>
    <t>Parcialmente</t>
  </si>
  <si>
    <t>MP096</t>
  </si>
  <si>
    <t>Controle da Qualidade da Água</t>
  </si>
  <si>
    <t>Possuir políticas, normas e/ou procedimentos formalmente definidos, atualizados e divulgados a todos os colaboradores envolvidos, que contemplem, entre outros aspectos, os responsáveis, os prazos e a descrição das atividades críticas do processo de controle da qualidade da água para coliformes totais das seguintes etapas:</t>
  </si>
  <si>
    <t>Há normas, políticas e/ou procedimentos?</t>
  </si>
  <si>
    <t>Estão atualizadas e vigentes?</t>
  </si>
  <si>
    <t>Há divulgação e ciência dos colaboradores?</t>
  </si>
  <si>
    <t>Nível de Confiança Sugerido</t>
  </si>
  <si>
    <t>Dentre as atividades destacadas para o processo de controle da qualidade da água devem ser selecionadas as que possuem maior impacto nos resultados da organização. Depois da priorização, os normativos devem ser elaborados e formalmente divulgadas nos meios institucionais de comunicação (Ex: intranet).</t>
  </si>
  <si>
    <t>Realizar o levantamento das atividades do processo de controle da qualidade da água que não possuem políticas, normas e/ou procedimentos e promover a elaboração e divulgação dos normativos nos meios institucionais de comunicação (Ex: intranet).</t>
  </si>
  <si>
    <t>Realizar o levantamento das atividades destacadas para o processo de controle da qualidade da água que possuem políticas, normas e/ou procedimentos desatualizados e/ou não divulgados e promover a atualização e/ ou divulgação nos meios institucionais de comunicação (Ex: intranet).</t>
  </si>
  <si>
    <t>MP097</t>
  </si>
  <si>
    <t>Possuir plano de amostragem formalizado, definindo pontos de coleta, conforme critérios estabelecidos pela Portaria de Consolidação Nº 5 de 3 de outubro de 2017 do Ministério da Saúde.</t>
  </si>
  <si>
    <t>Os planos de amostragem abrangem toda a área atendida e envolvem todos os laboratórios do prestador?</t>
  </si>
  <si>
    <t>Todos os laboratórios tem acreditação segundo a norma NBR ISO/IEC 17.025?</t>
  </si>
  <si>
    <t>Realizar o levantamento dos laboratórios que não possuem planos de amostragem definidos.</t>
  </si>
  <si>
    <t>Elaborar planos de amostragem para os laboratórios que atendem os municípios mais relevantes, definindo os pontos de coleta conforme os critérios estabelecidos pela Portaria Nº 2.914 do Ministério da Saúde.</t>
  </si>
  <si>
    <t>Certificar os laboratórios que atendem os municípios mais relevantes em relação à norma NBR ISO/IEC 17025.</t>
  </si>
  <si>
    <t>Elaborar planos de amostragem para todos os laboratórios, definindo os pontos de coleta conforme os critérios estabelecidos pela Portaria Nº 2.914 do Ministério da Saúde.</t>
  </si>
  <si>
    <t>Certificar todos os laboratórios em relação à norma NBR ISO/IEC 17025.</t>
  </si>
  <si>
    <t>MP098</t>
  </si>
  <si>
    <t>Possuir estrutura laboratorial, própria ou terceirizada, com equipamentos adequados, tendo como base os preceitos estabelecidos na NBR ISO/IEC 17025 (Requisitos gerais para competência de laboratórios de ensaio e calibração).</t>
  </si>
  <si>
    <t>Realizar levantamento dos requisitos estabelecidos pela NBR ISO/IEC 17025 e implementar as melhorias mais críticas nos laboratórios que atendem os municípios mais relevantes do prestador.</t>
  </si>
  <si>
    <t>Realizar levantamento dos laboratórios que não atendem plenamente aos requisitos estabelecidos pela NBR ISO/IEC 17025 e implementar as melhorias necessárias.</t>
  </si>
  <si>
    <t>MP099</t>
  </si>
  <si>
    <t>Os profissionais que atuam de maneira direta e indireta na realização de análises da qualidade da água para coliformes totais são qualificados?</t>
  </si>
  <si>
    <t xml:space="preserve"> Promover treinamentos com foco nos profissionais que não possuem formação diretamente relacionada aos trabalhos realizados e atuam em laboratórios importantes do prestador.</t>
  </si>
  <si>
    <t xml:space="preserve"> Promover treinamentos com foco voltado para os demais profissionais que atuam de forma direta ou indireta na realização de análises da qualidade da água para coliformes totais.</t>
  </si>
  <si>
    <t>MP100</t>
  </si>
  <si>
    <t>Realizar registro, acompanhamento e avaliação das coletas e resultados das análises para coliformes totais.</t>
  </si>
  <si>
    <t>Realizar registro das análises de qualidade da água para coliformes totais em planilhas eletrônicas.</t>
  </si>
  <si>
    <t>Adquirir/desenvolver software específico para o registro, acompanhamento e avaliação das coletas e resultados de análises da qualidade da água para coliformes totais.</t>
  </si>
  <si>
    <t>MP101</t>
  </si>
  <si>
    <t>Efetuar procedimento para análise periódica dos resultados de qualidade de água para coliformes totais, avaliando resultados discrepantes ou incompatíveis com o histórico.</t>
  </si>
  <si>
    <t>Há procedimentos para análise periódica dos resultados de análise de coliformes totais?</t>
  </si>
  <si>
    <t>Estabelecer procedimento para análise periódica dos resultados das análises de qualidade de água para coliformes totais, considerando a aplicação testes analíticos para verificação de resultados fora do padrão acima do limite estabelecido na portaria no ministério da saúde, resultados fora do padrão muito elevado em relação à média histórica ou quantidade de amostras analisadas abaixo do previsto na portaria do ministério da saúde ou norma interna.</t>
  </si>
  <si>
    <t>Processo de Gestão Financeira</t>
  </si>
  <si>
    <t>MP017</t>
  </si>
  <si>
    <t>Financeiro</t>
  </si>
  <si>
    <t>Conciliação com extratos bancários</t>
  </si>
  <si>
    <t>Efetivação de baixas manuais</t>
  </si>
  <si>
    <r>
      <t xml:space="preserve">Possuir políticas, normas e/ou procedimentos formalmente definidos, atualizados e divulgados a todos os colaboradores envolvidos, que contemplem, entre outros aspectos, os responsáveis, os prazos e a descrição das atividades críticas do processo de </t>
    </r>
    <r>
      <rPr>
        <b/>
        <sz val="11"/>
        <color theme="1"/>
        <rFont val="Calibri"/>
        <family val="2"/>
        <scheme val="minor"/>
      </rPr>
      <t>arrecadação</t>
    </r>
    <r>
      <rPr>
        <sz val="11"/>
        <color theme="1"/>
        <rFont val="Calibri"/>
        <family val="2"/>
        <scheme val="minor"/>
      </rPr>
      <t>, tais como:</t>
    </r>
  </si>
  <si>
    <r>
      <t xml:space="preserve">Segregar as funções para as atividades críticas do processo de </t>
    </r>
    <r>
      <rPr>
        <b/>
        <sz val="11"/>
        <color theme="1"/>
        <rFont val="Calibri"/>
        <family val="2"/>
        <scheme val="minor"/>
      </rPr>
      <t>arrecadação</t>
    </r>
    <r>
      <rPr>
        <sz val="11"/>
        <color theme="1"/>
        <rFont val="Calibri"/>
        <family val="2"/>
        <scheme val="minor"/>
      </rPr>
      <t>:</t>
    </r>
  </si>
  <si>
    <r>
      <t xml:space="preserve">Possuir políticas, normas e/ou procedimentos formalmente definidos, atualizados e divulgados a todos os colaboradores envolvidos, que contemplem, entre outros aspectos, os responsáveis, os prazos e a descrição das atividades críticas do processo de </t>
    </r>
    <r>
      <rPr>
        <b/>
        <sz val="11"/>
        <color theme="1"/>
        <rFont val="Calibri"/>
        <family val="2"/>
        <scheme val="minor"/>
      </rPr>
      <t>cadastro e classificação</t>
    </r>
    <r>
      <rPr>
        <sz val="11"/>
        <color theme="1"/>
        <rFont val="Calibri"/>
        <family val="2"/>
        <scheme val="minor"/>
      </rPr>
      <t>, tais como:</t>
    </r>
  </si>
  <si>
    <r>
      <t xml:space="preserve">Segregar as funções para as atividades críticas do processo de </t>
    </r>
    <r>
      <rPr>
        <b/>
        <sz val="11"/>
        <color theme="1"/>
        <rFont val="Calibri"/>
        <family val="2"/>
        <scheme val="minor"/>
      </rPr>
      <t>cadastro e
classificação</t>
    </r>
    <r>
      <rPr>
        <sz val="11"/>
        <color theme="1"/>
        <rFont val="Calibri"/>
        <family val="2"/>
        <scheme val="minor"/>
      </rPr>
      <t>:</t>
    </r>
  </si>
  <si>
    <r>
      <t xml:space="preserve">Possuir políticas, procedimentos e normas formalmente definidos, atualizados e divulgados a todos os colaboradores envolvidos, que contemplem, entre outros aspectos, os responsáveis, os prazos e a descrição das atividades críticas dos Processos de </t>
    </r>
    <r>
      <rPr>
        <b/>
        <sz val="11"/>
        <color theme="1"/>
        <rFont val="Calibri"/>
        <family val="2"/>
        <scheme val="minor"/>
      </rPr>
      <t>Leitura e Faturamento</t>
    </r>
    <r>
      <rPr>
        <sz val="11"/>
        <color theme="1"/>
        <rFont val="Calibri"/>
        <family val="2"/>
        <scheme val="minor"/>
      </rPr>
      <t xml:space="preserve">, tais como: </t>
    </r>
  </si>
  <si>
    <r>
      <t xml:space="preserve">Definir formalmente os níveis e limites de autoridade para as atividades
críticas dos processos de </t>
    </r>
    <r>
      <rPr>
        <b/>
        <sz val="11"/>
        <color theme="1"/>
        <rFont val="Calibri"/>
        <family val="2"/>
        <scheme val="minor"/>
      </rPr>
      <t>leitura e faturamento</t>
    </r>
    <r>
      <rPr>
        <sz val="11"/>
        <color theme="1"/>
        <rFont val="Calibri"/>
        <family val="2"/>
        <scheme val="minor"/>
      </rPr>
      <t>:</t>
    </r>
  </si>
  <si>
    <t>MP018</t>
  </si>
  <si>
    <t>Processamento do faturamento</t>
  </si>
  <si>
    <t>Conciliação Bancária</t>
  </si>
  <si>
    <t>Segregar completamente as atividades de faturamento e conciliação bancária em áreas distintas.</t>
  </si>
  <si>
    <t>MP019</t>
  </si>
  <si>
    <t>Possuir integração automática entre os módulos de faturamento e o financeiro garantindo a integridade dos dados.</t>
  </si>
  <si>
    <t xml:space="preserve">Há integração automática entre os módulos? </t>
  </si>
  <si>
    <t>Há segurança no Processo de Transferência de dados?</t>
  </si>
  <si>
    <t>Integrar os sistemas de gestão através de arquivo de integração para permitir que os valores faturados sejam automaticamente transferidos para o contas a receber.</t>
  </si>
  <si>
    <t>Parametrizar os sistemas de gestão para integração automática entre o faturamento e o contas a receber, sem necessidade de intervenção manual.</t>
  </si>
  <si>
    <t>Restringir o acesso ao diretório de armazenamento dos arquivos de integração, impossibilitando alterações diretamente nos dados.</t>
  </si>
  <si>
    <t>MP020</t>
  </si>
  <si>
    <t>Formalizar procedimento e realizar prática de conciliação periódica entre o contas a receber, extratos bancários e contabilidade.</t>
  </si>
  <si>
    <t>Realizar conciliação periódica entre Contas a Receber, Extratos Bancários e Contabilidade.</t>
  </si>
  <si>
    <t>Há prática de conciliação periódica?</t>
  </si>
  <si>
    <t>MP021</t>
  </si>
  <si>
    <t>Possuir cálculo automático dos juros, variação monetária e taxas/encargos financeiros dos contratos de financiamento/empréstimo/captação.</t>
  </si>
  <si>
    <t>Efetuar parametrização sistêmica para o cálculo automático da variação monetária e taxas/encargos financeiros conforme os contratos de dívida firmados.</t>
  </si>
  <si>
    <t>Há automatização dos cálculos relacionados?</t>
  </si>
  <si>
    <r>
      <t xml:space="preserve">Possuir políticas, normas e/ou procedimentos formalmente definidos, atualizados e divulgados a todos os colaboradores envolvidos, que contemplem, entre outros aspectos, os responsáveis, os prazos e a descrição das atividades críticas do processo de </t>
    </r>
    <r>
      <rPr>
        <b/>
        <sz val="11"/>
        <color theme="1"/>
        <rFont val="Calibri"/>
        <family val="2"/>
        <scheme val="minor"/>
      </rPr>
      <t>folha de pagamento</t>
    </r>
    <r>
      <rPr>
        <sz val="11"/>
        <color theme="1"/>
        <rFont val="Calibri"/>
        <family val="2"/>
        <scheme val="minor"/>
      </rPr>
      <t>, tais como:</t>
    </r>
  </si>
  <si>
    <r>
      <t xml:space="preserve">Segregar funções para as atividades críticas do processo de </t>
    </r>
    <r>
      <rPr>
        <b/>
        <sz val="11"/>
        <color theme="1"/>
        <rFont val="Calibri"/>
        <family val="2"/>
        <scheme val="minor"/>
      </rPr>
      <t>Folha de Pagamento</t>
    </r>
    <r>
      <rPr>
        <sz val="11"/>
        <color theme="1"/>
        <rFont val="Calibri"/>
        <family val="2"/>
        <scheme val="minor"/>
      </rPr>
      <t>:</t>
    </r>
  </si>
  <si>
    <t>Definir e formalizar procedimento para revisão e aprovação dos eventos de frequência (horas extras, faltas, atrasos e abonos) antes do processamento da folha de pagamentos.</t>
  </si>
  <si>
    <t>Há cálculo automático?</t>
  </si>
  <si>
    <t>Há contabilização automática?</t>
  </si>
  <si>
    <t>Há integração entre sistemas, com segurança adequada?</t>
  </si>
  <si>
    <t>Há vínculo sistêmico entre compras e a contabilidade?</t>
  </si>
  <si>
    <t>Há restrição de acessos aos sistemas?</t>
  </si>
  <si>
    <t>Há procedimento de aprovação de compars conforme limites de alçada?</t>
  </si>
  <si>
    <t>Há sistema para gerenciamento de compras?</t>
  </si>
  <si>
    <t>Há funcionadalidade para cadastro de contratos?</t>
  </si>
  <si>
    <t>Há consistências para controle de saldos e condições contratuais negociadas?</t>
  </si>
  <si>
    <t>Há porocedimento de aprovação de pedidos de compra?</t>
  </si>
  <si>
    <t>Há porocedimento de conferência física?</t>
  </si>
  <si>
    <t>Há ateste formal dos serviços?</t>
  </si>
  <si>
    <t>Há consistências automáticas?</t>
  </si>
  <si>
    <t>Há atualização automática?</t>
  </si>
  <si>
    <t>Sistema está parametrizado para atualização automática após a baixa?</t>
  </si>
  <si>
    <t>Sistema permite emitir requisições de retirada de produtos?</t>
  </si>
  <si>
    <t>Há procedimento de solicitação e aprovação formal?</t>
  </si>
  <si>
    <r>
      <t>Coleta e preservação de amostras</t>
    </r>
    <r>
      <rPr>
        <i/>
        <sz val="11"/>
        <color theme="1"/>
        <rFont val="Calibri"/>
        <family val="2"/>
        <scheme val="minor"/>
      </rPr>
      <t>.</t>
    </r>
  </si>
  <si>
    <r>
      <t>Análises laboratoriais, segundo parâmetros e recomendações legais, conforme Portaria de Consolidação Nº 5 de 3 de outubro de 2017 do Ministério da Saúde</t>
    </r>
    <r>
      <rPr>
        <i/>
        <sz val="11"/>
        <color theme="1"/>
        <rFont val="Calibri"/>
        <family val="2"/>
        <scheme val="minor"/>
      </rPr>
      <t>.</t>
    </r>
  </si>
  <si>
    <r>
      <t>Registro e monitoramento dos resultados das análises de amostras</t>
    </r>
    <r>
      <rPr>
        <i/>
        <sz val="11"/>
        <color theme="1"/>
        <rFont val="Calibri"/>
        <family val="2"/>
        <scheme val="minor"/>
      </rPr>
      <t>.</t>
    </r>
  </si>
  <si>
    <t>Há plano de amostragem definindo os pontes de coleta?</t>
  </si>
  <si>
    <t>Há rotinas de manutenção preventiva e corretiva adequadas?</t>
  </si>
  <si>
    <t>A estrutura laboratorial é adequada (equipamentos e instalações)?</t>
  </si>
  <si>
    <r>
      <t xml:space="preserve">Alocar profissionais qualificados para atuação de forma direta e indireta na realização de análises da qualidade da água para coliformes totais.
</t>
    </r>
    <r>
      <rPr>
        <b/>
        <sz val="11"/>
        <color rgb="FFFF0000"/>
        <rFont val="Calibri"/>
        <family val="2"/>
        <scheme val="minor"/>
      </rPr>
      <t>(Sim, Não ou Parcialmente)</t>
    </r>
  </si>
  <si>
    <t>Realizar levantamento dos profissionais que atuam de forma direta e indireta na realização de análises da qualidade da água para coliformes totais e analisar as suas formações e histórico de capacitações.</t>
  </si>
  <si>
    <t>Há registros das amostras e resultados das análises?</t>
  </si>
  <si>
    <t>Os registros são realizados em software específico (Sim) ou planilhas eletrônicas (Não)?</t>
  </si>
  <si>
    <t>Manutenção do Cadastro da Redes</t>
  </si>
  <si>
    <t>MP068</t>
  </si>
  <si>
    <t>Possuir políticas, normas e/ou procedimentos formalmente definidos, atualizados e divulgados a todos os colaboradores envolvidos, que contemplem, entre outros aspectos, os responsáveis, os prazos e a descrição das atividades críticas do processo de manutenção do cadastro de redes, tais como:</t>
  </si>
  <si>
    <t>Estão atualizadas e formalmente divulgadas?</t>
  </si>
  <si>
    <t>Dentre as atividades destacadas para o processo de manutenção do cadastro de redes, devem ser selecionadas as que possuem maior impacto nos resultados da organização. Depois da
priorização, os normativos devem ser elaborados e formalmente divulgadas nos meios institucionais de comunicação (Ex: intranet).</t>
  </si>
  <si>
    <t>Conferência e aprovação da documentação suporte das obras de ampliação e substituição das redes de água e esgoto.</t>
  </si>
  <si>
    <t>Realizar o levantamento das atividades do processo de manutenção do cadastro de redes que não possuem políticas, normas e/ou procedimentos e promover a elaboração e divulgação dos normativos nos meios institucionais de comunicação (Ex: intranet).</t>
  </si>
  <si>
    <t>Arquivamento de plantas as built.</t>
  </si>
  <si>
    <t>Realizar o levantamento das atividades destacadas para o processo de manutenção do cadastro de redes que possuem políticas, normas e/ou procedimentos desatualizados e/ou não divulgados e promover a atualização e/ ou divulgação nos meios institucionais de comunicação (Ex: intranet).</t>
  </si>
  <si>
    <t>Realização de atualizações no cadastro de redes</t>
  </si>
  <si>
    <t>MP069</t>
  </si>
  <si>
    <t>Avaliar a possibilidade de segregar as atividades destacadas em profissionais ou áreas distintas.</t>
  </si>
  <si>
    <t>Aprovar a documentação suporte das obras de ampliação e substituição das
redes de água e esgoto.</t>
  </si>
  <si>
    <t>Realizar alterações no cadastro de redes.</t>
  </si>
  <si>
    <t>MP070</t>
  </si>
  <si>
    <t>As plantas as built são arquivadas ?</t>
  </si>
  <si>
    <t>As plantas as built têm aprovação formal?</t>
  </si>
  <si>
    <t>Realizar o arquivamento das plantas as built das obras de ampliação e substituição realizadas nas redes de abastecimento de água e esgotamento sanitário.</t>
  </si>
  <si>
    <t>Estabelecer procedimento de aprovação formal das plantas as built quando do encerramento de obras de ampliação e substituição de redes de água e esgoto. Esta aprovação pode ser realizada pela equipe responsável pela obra e/ou fiscalizadora e/ou gereciadora em caso de contratação de terceiros para execução dos serviços ou por área interna do prestador, diferente da responsável pela execução da obra, quando a execução é realizada por equipe própria.</t>
  </si>
  <si>
    <t>MP071</t>
  </si>
  <si>
    <t>Possuir cadastro de redes em sistema de informações georreferenciadas, possibilitando o cálculo automático da extensão de rede dos sistemas de água e esgoto.</t>
  </si>
  <si>
    <t>Adquirir/desenvolver sistema informatizado para realizar o cadastro de redes, com funcionalidades de geração de relatórios com a posição das extensões de rede e consulta ao histórico de alterações.</t>
  </si>
  <si>
    <t>Adquirir/desenvolver sistema de informações georreferenciadas para realização do cadastro de redes, com funcionalidade de atualização automática das informações de extensão de rede de água e esgoto.</t>
  </si>
  <si>
    <t>MP072</t>
  </si>
  <si>
    <t>Existência de crítica das informações de extensão de rede, avaliando e sinalizando distorções e valores incompatíveis com as obras realizadas, bem como variações pouco usuais em um curto período.</t>
  </si>
  <si>
    <t>Há parametrização no sistema para críticas automáticas das informações de extensão de rede?</t>
  </si>
  <si>
    <t>Efetuar parametrização no sistema utilizado para cadastramento de redes de água e esgoto para a realização de críticas automáticas das informações de extensão, sinalizando distorções e valores incompatíveis com as obras realizadas, bem como variações não usuais em um curto período de tempo.</t>
  </si>
  <si>
    <t>Segregar funções para as atividades críticas do processo de manutenção do cadastro de redes:</t>
  </si>
  <si>
    <t>Segregação completa (Sim) ou Parcial (Não)?</t>
  </si>
  <si>
    <t>Aprovar formalmente as plantas as built de obras de ampliação e substituição de redes de água e esgoto encerradas e arquivá-las junto à documentação da obra</t>
  </si>
  <si>
    <t>O cadastro das redes é realizado em sistema de informação (Sim)?
Nos demais casos responder (Não)</t>
  </si>
  <si>
    <t>É possivel consultar no sistema o histórico do alterações da rede?</t>
  </si>
  <si>
    <t>As redes estão cadastradas em SIG (georreferenciadas), com atualização automática da extensão da rede de água e esgoto?</t>
  </si>
  <si>
    <t>Manutenção da Rede de Esgoto</t>
  </si>
  <si>
    <t>MP095</t>
  </si>
  <si>
    <t>Parametrizar sistema para abertura automática de ordem de serviço de reparo na rede de esgoto a partir do registro da reclamação/ solicitação de serviço de reparo no atendimento ao cliente.</t>
  </si>
  <si>
    <t>MP094</t>
  </si>
  <si>
    <t>MP093</t>
  </si>
  <si>
    <t>Segregar funções entre os responsáveis pelo recebimento das ocorrências de extravasamentos de esgoto e os responsáveis pelo encerramento de ordens de serviço.</t>
  </si>
  <si>
    <t>MP092</t>
  </si>
  <si>
    <t>Abertura e encerramento de ordens de serviço de manutenção na rede de esgoto</t>
  </si>
  <si>
    <t>Realização de reparos na rede de esgoto</t>
  </si>
  <si>
    <t>Registro de ocorrências de extravasamentos de esgoto</t>
  </si>
  <si>
    <t xml:space="preserve">Possuir políticas, normas e/ou procedimentos formalmente definidos, atualizados e divulgados a todos os colaboradores envolvidos, que contemplem, entre outros aspectos, os responsáveis, os prazos e a descrição das atividades críticas do processo de manutenção da rede de esgoto, tais como: </t>
  </si>
  <si>
    <t>MP091</t>
  </si>
  <si>
    <t>Processo de Gestão Manutenção da Rede de Esgoto</t>
  </si>
  <si>
    <t>Sim / Não / Parcialmente</t>
  </si>
  <si>
    <t>Há controle dos registros?</t>
  </si>
  <si>
    <t>Processo Operacional</t>
  </si>
  <si>
    <t>MP085</t>
  </si>
  <si>
    <t>CONTAGEM (SIM/NÃO/PARCIALMENTE)</t>
  </si>
  <si>
    <t>Limpezas de reservatórios.</t>
  </si>
  <si>
    <t xml:space="preserve"> Testes hidráulicos de estanqueidade.</t>
  </si>
  <si>
    <t>Desinfecção de adutoras e redes.</t>
  </si>
  <si>
    <t>Há acompanhamento dos volumes?</t>
  </si>
  <si>
    <t>MP084</t>
  </si>
  <si>
    <t>Fornecimento para obras públicas</t>
  </si>
  <si>
    <t>Lavagem de ruas e rega de serviços públicos</t>
  </si>
  <si>
    <t>Abastecimentos realizados a título de suprimento social (favelas e chafarizes)</t>
  </si>
  <si>
    <t>Consumo pelo corpo de bombeiros</t>
  </si>
  <si>
    <t>Volume transportado por caminhões-pipa</t>
  </si>
  <si>
    <t>Consumo dos prédios próprios do operador</t>
  </si>
  <si>
    <t>MP083</t>
  </si>
  <si>
    <t>Acompanhar os volumes macromedidos/estimados do sistema de abastecimento de água e esgotamento sanitário.</t>
  </si>
  <si>
    <t>MP082</t>
  </si>
  <si>
    <t>Não aplicável</t>
  </si>
  <si>
    <t>Sim / Não / Parcialmente / Não aplicável</t>
  </si>
  <si>
    <t>Há macromedidores nos pontos de exportação de esgoto?</t>
  </si>
  <si>
    <t>Possuir macromedição para os volumes de esgoto exportados.</t>
  </si>
  <si>
    <t>MP081</t>
  </si>
  <si>
    <t>Há macromedidores nos pontos de importação de esgoto?</t>
  </si>
  <si>
    <t>Existência de macromedição para os volumes de esgoto importados.</t>
  </si>
  <si>
    <t>MP080</t>
  </si>
  <si>
    <t>Há macromedidores em todas as entradas das ETEs?</t>
  </si>
  <si>
    <t>Existência de macromedição para os volumes de esgoto tratados.</t>
  </si>
  <si>
    <t>MP079</t>
  </si>
  <si>
    <t xml:space="preserve">Há macromedidores nos pontos de água tratada exportada? </t>
  </si>
  <si>
    <t>Existência de macromedição para os volumes de água tratada exportados.</t>
  </si>
  <si>
    <t>MP078</t>
  </si>
  <si>
    <t xml:space="preserve">Há macromedidores nos pontos de água tratada importada? </t>
  </si>
  <si>
    <t>Existência de macromedição para os volumes de água tratada importados.</t>
  </si>
  <si>
    <t>MP077</t>
  </si>
  <si>
    <t>Há macromedidores nas saídas de água produzida, ou bruta importada?</t>
  </si>
  <si>
    <t>Existência de macromedição para os volumes de água produzidos em saídas das ETAs, água captada ou bruta importada disponibilizada para consumo sem tratamento</t>
  </si>
  <si>
    <t>MP076</t>
  </si>
  <si>
    <t>Há procedimentos?</t>
  </si>
  <si>
    <t>Existência de procedimento para realização periódica de calibrações nos macromedidores dos sistemas de abastecimento de água e esgotamento sanitário.</t>
  </si>
  <si>
    <t>MP075</t>
  </si>
  <si>
    <t>Datas da instalação e de outras operações relevantes (manutenções, calibrações, etc)</t>
  </si>
  <si>
    <t>Especificações técnicas</t>
  </si>
  <si>
    <t>Marca e modelo</t>
  </si>
  <si>
    <t>Localização geográfica</t>
  </si>
  <si>
    <t>Há cadastro?</t>
  </si>
  <si>
    <t>MP074</t>
  </si>
  <si>
    <t xml:space="preserve"> Registro e monitoramento das informações de volumes produzidos/tratados, importados/exportados e macromedidos</t>
  </si>
  <si>
    <t>Registro e monitoramento de consumo em atividades especiais e
operacionais</t>
  </si>
  <si>
    <t>Manutenção/ calibração de macromedidores dos sistemas de abastecimento de água e esgotamento sanitário</t>
  </si>
  <si>
    <t>Critérios de seleção e instalação de macromedidores</t>
  </si>
  <si>
    <t>MP073</t>
  </si>
  <si>
    <t>Processo de Gestão Processo Operacional</t>
  </si>
  <si>
    <t>Há procedimento definido para revisão periódica do "log"?</t>
  </si>
  <si>
    <t>Há rastreamento das principais transações?</t>
  </si>
  <si>
    <t>Tecnologia da Informação</t>
  </si>
  <si>
    <t>Revisão de acessos</t>
  </si>
  <si>
    <t>Revogação</t>
  </si>
  <si>
    <t>Concessão</t>
  </si>
  <si>
    <t>Há política de gestão de acessos ou procedimentos definidos  dos sistemas corporativos?</t>
  </si>
  <si>
    <t>Processo de Tecnologia da Informação</t>
  </si>
  <si>
    <t>Há rotina sistêmica para sinalização das distorções?</t>
  </si>
  <si>
    <t>Há análise crítica de consistência das medições e cobranças realizadas pelas
concessionárias?</t>
  </si>
  <si>
    <t xml:space="preserve">Realizar análise e crítica de consistência das medições e cobranças realizadas
pelas concessionárias de energia. </t>
  </si>
  <si>
    <t xml:space="preserve"> Consumo Energético</t>
  </si>
  <si>
    <t>MP090</t>
  </si>
  <si>
    <t>Possui registro das unidades consumidoras ?</t>
  </si>
  <si>
    <t>MP089</t>
  </si>
  <si>
    <t>Realizar o recebimento das faturas de energia elétrica por meio de arquivo eletrônico encaminhado pela concessionária de energia, possibilitando o registro automático no sistema de gestão energética do prestador.</t>
  </si>
  <si>
    <t>MP088</t>
  </si>
  <si>
    <t>Realiza monitoramento?</t>
  </si>
  <si>
    <t>Registrar e monitorar o consumo energético nos sistemas de água e esgoto.</t>
  </si>
  <si>
    <t>MP087</t>
  </si>
  <si>
    <t>Possuir políticas, normas e/ou procedimentos formalmente definidos, atualizados e divulgados a todos os colaboradores envolvidos, que contemplem, entre outros aspectos, os responsáveis, os prazos e a descrição das atividades críticas do processo de monitoramento do consumo de energia elétrica nos sistemas de água e esgoto, tais como:</t>
  </si>
  <si>
    <t>MP086</t>
  </si>
  <si>
    <t>Processo de Gestão do Consumo Energético</t>
  </si>
  <si>
    <t>Processo de Gestão Contábil</t>
  </si>
  <si>
    <t>MP056</t>
  </si>
  <si>
    <t>Gestão Contábil</t>
  </si>
  <si>
    <t>Realizar contabilização automática das receitas provenientes do faturamento em centro de lucro / conta contábil específica por município e atividade.</t>
  </si>
  <si>
    <t>Realizar parametrização sistêmica para possibilitar a contabilização automática das receitas provenientes no sistema / módulo comercial ou de faturamento</t>
  </si>
  <si>
    <t>Armazenar os arquivos de integração em diretório com acesso restrito e sem a possibilidade de alteração</t>
  </si>
  <si>
    <t>MP057</t>
  </si>
  <si>
    <t>Possuir políticas, procedimentos e normas formalmente definidos, atualizados e divulgados a todos os colaboradores envolvidos, que contemplem, entre outros aspectos, os responsáveis, os prazos e a descrição das atividades críticas do Processo Contábil, tais como:</t>
  </si>
  <si>
    <t>- Preparação e manutenção do Plano de Contas da organização</t>
  </si>
  <si>
    <t>- Conciliações periódicas</t>
  </si>
  <si>
    <t>- Cronograma formal das atividades necessárias para o fechamento contábil, contendo, no mínimo, os seguintes itens:
• Mapeamento das informações necessárias e áreas responsáveis pelo envio;
• Mapeamento das contas a serem conciliadas, considerando as fontes e os responsáveis.
• Revisão de lançamentos não rotineiros ou usuais.
• Revisão de consistência das demonstrações: verificações internas e externas entre os saldos das contas dos demonstrativos contábeis.
• Parâmetros / Critérios para consolidação das demonstrações financeiras.</t>
  </si>
  <si>
    <t>- Preparação e emissão de relatórios financeiros</t>
  </si>
  <si>
    <t>- Elaboração das demonstrações financeiras</t>
  </si>
  <si>
    <t>MP058</t>
  </si>
  <si>
    <t>Realizar revisão independente dos lançamentos e ajustes manuais realizados direto no razão geral.</t>
  </si>
  <si>
    <t>Há revisão ou aprovação dos lançamentos manuais realizados na contabilidade por funcionário autorizado e diferente do responsável por efetivar o lançamento?</t>
  </si>
  <si>
    <t>MP059</t>
  </si>
  <si>
    <t>Efetuar procedimentos analíticos de variações e valores fora do padrão (análise vertical e horizontal) mensalmente nas contas do balancete contábil</t>
  </si>
  <si>
    <t>Há procedimentos analíticos para análise de inconsistências nos balancetes mensais?</t>
  </si>
  <si>
    <t>Definir e formalizar procedimento para executar procedimentos analíticos (análises horizontais e verticais) mensais para a identificação de potenciais inconsistências nos demonstrativos financeiros</t>
  </si>
  <si>
    <t>MP060</t>
  </si>
  <si>
    <t>Existência de bloqueio no sistema contábil para lançamentos inconsistentes e lançamentos retroativos após data de fechamento contábil</t>
  </si>
  <si>
    <t>Efetuar parametrização sistêmica para impossibilitar lançamentos inconsistentes ou após o fechamento do período contábil</t>
  </si>
  <si>
    <t>MP061</t>
  </si>
  <si>
    <t>Estabelecer critérios formais e formalizar procedimento para o cálculo da PCLD</t>
  </si>
  <si>
    <t>Designar profissional qualificado para realização dos cálculos da provisão</t>
  </si>
  <si>
    <t>Efetuar parametrização sistêmica para a realização do cálculo automático da PCLD conforme diretrizes internas e legais</t>
  </si>
  <si>
    <t>MP062</t>
  </si>
  <si>
    <t>Rateio automático das despesas / custos para os municípios atendidos, conforme critérios previstos pelo órgão regulador</t>
  </si>
  <si>
    <t>MP063</t>
  </si>
  <si>
    <t>Revisão mensal das demonstrações financeiras por nível de supervisão adequado.</t>
  </si>
  <si>
    <t>Há revisão das demonstrações financeiras?</t>
  </si>
  <si>
    <t>Estabelecer procedimento de revisão mensal das demonstrações financeiras</t>
  </si>
  <si>
    <t>Designar profissional qualificado para realização da revisão</t>
  </si>
  <si>
    <t>Processo de Gestão de Ativos e Investimentos</t>
  </si>
  <si>
    <t>MP047</t>
  </si>
  <si>
    <t>Gestão de Ativos e Investimentos</t>
  </si>
  <si>
    <t>Dispor de políticas, normas e/ou procedimentos formalmente definidos, atualizados e divulgados a todos os colaboradores envolvidos, que contemplem, entre outros aspectos, os responsáveis, os prazos e a descrição das atividades críticas do processo de gestão de ativos e gestão de investimentos, tais como:</t>
  </si>
  <si>
    <t>Há politicas/ normas e ou procedimentos?</t>
  </si>
  <si>
    <t>- Planejamento de orçamento e estruturação do investimento (estrutura de capital, fonte de recursos e destino do investimento - água ou esgoto).</t>
  </si>
  <si>
    <t>- Cadastro de ativo imobilizado e responsabilidades pela manipulação do arquivo mestre de ativo imobilizado;</t>
  </si>
  <si>
    <t>- Diretrizes para a abertura, manutenção e encerramento dos projetos da empresa;</t>
  </si>
  <si>
    <t>- Desembolsos, medições e aquisições vinculadas aos investimentos;</t>
  </si>
  <si>
    <t>- Regras para a contabilização de ativos, considerando: categorias para classificação e registro contábil e Índices de depreciação e amortização por categoria de ativo imobilizado,</t>
  </si>
  <si>
    <t>- Critérios para encerramento de projetos, capitalização e ativação dos ativos.</t>
  </si>
  <si>
    <t>MP048</t>
  </si>
  <si>
    <t>Segregar funções críticas das seguintes atividades do processo de gestão de ativos:</t>
  </si>
  <si>
    <t>Dentre as atividades destacadas para o processo de gestão de ativos e investimentos, levantar as que são realizadas pelos mesmos profissionais ou áreas.</t>
  </si>
  <si>
    <t>- Aprovação dos investimentos;</t>
  </si>
  <si>
    <t>- Abertura de projetos de investimentos no sistema aplicativo;</t>
  </si>
  <si>
    <t>- Cadastro do ativo imobilizado, manipulação do arquivo mestre do ativo imobilizado, cadastro e manutenção da taxa de depreciação e amortização;</t>
  </si>
  <si>
    <t>- Aquisição de materiais e contratação de serviços para os projetos de investimento;</t>
  </si>
  <si>
    <t>- Encerramento, liquidação e capitalização dos investimentos;</t>
  </si>
  <si>
    <t>MP049</t>
  </si>
  <si>
    <t>Comunicar formalmente à contabilidade / área de patrimônio sobre o encerramento dos projetos para que sejam efetuados os lançamentos contábeis, transferindo do ativo em andamento para o ativo em operação.</t>
  </si>
  <si>
    <t>Há procedimento de comunicação formal para transferência de projetos encerrados para o imobilizado ou intangível ?</t>
  </si>
  <si>
    <t>Desenvolver e formalizar procedimento de comunicação formal à área de contabilidade/patrimônio dos projetos encerrados, com o objetivo de realizar a transferência tempestiva do ativo em andamento para o ativo em operação</t>
  </si>
  <si>
    <t>MP050</t>
  </si>
  <si>
    <t>Dispor de laudo emitido por empresa competente para reavaliação de ativos</t>
  </si>
  <si>
    <t>Reavaliação de ativos é suportada por parecer / laudo de empresa especializada?</t>
  </si>
  <si>
    <t>Suportar qualquer reavaliação de ativos através de laudos emitidos por empresas especializadas</t>
  </si>
  <si>
    <t>MP051</t>
  </si>
  <si>
    <t>Possuir cálculo automático mensal da depreciação/amortização dos ativos imobilizados ou intangíveis com base nas taxas previamente estabelecidas e de acordo com a categoria do ativo.</t>
  </si>
  <si>
    <t>Realizar parametrização sistêmica para o cálculo automático da depreciação ou amortização dos ativos em operação.</t>
  </si>
  <si>
    <t>MP052</t>
  </si>
  <si>
    <t>Realizar revisão mensal independente dos itens inseridos nos ativos imobilizado ou intangível, de forma a garantir que a vida útil, classe e taxa de depreciação ou amortização estejam cadastradas corretamente</t>
  </si>
  <si>
    <t>Desenvolver e formalizar procedimento para revisão dos itens inseridos no ativo imobilizado/ intangível.</t>
  </si>
  <si>
    <t>Segregar as atividades de cadastro de ativos e revisão dos itens inseridos no ativo imobilizado/ intangível</t>
  </si>
  <si>
    <t>Designar profissional qualificado para a revisão mensal independente dos itens inseridos no ativo imobilizado/ intangível.</t>
  </si>
  <si>
    <t>MP053</t>
  </si>
  <si>
    <t>Realizar periódicamente inventário físico de bens e ajustes provenientes do resultado do inventário na contabilidade.</t>
  </si>
  <si>
    <t>Há procedimento de realização de inventário físico dos bens registrados no ativo imobilizado e intangível?</t>
  </si>
  <si>
    <t>Estabelecer procedimento de inventário periódico dos bens registrados no ativo imobilizado e intangível</t>
  </si>
  <si>
    <t>MP054</t>
  </si>
  <si>
    <t>Utilizar sistema para gerenciamento financeiro de projetos de investimento, permitindo o cadastro de cada projeto e estrutura analítica para acompanhamento dos custos incorridos.</t>
  </si>
  <si>
    <t>Possui sistema para o gerenciamento de projetos de investimento?</t>
  </si>
  <si>
    <t>Adquirir sistema / módulo para realizar o gerenciamento financeiro dos projetos de investimento, possibilitando o controle dos custos incorridos por projeto</t>
  </si>
  <si>
    <t>MP055</t>
  </si>
  <si>
    <t>Realizar abertura formal dos projetos de investimento, contendo, dentre outras informações, a fonte de recursos (estrutura de capital -&gt; recursos próprios, onerosos e não onerosos) e o destino / objetivo do investimento (abastecimento de água, esgotamento sanitário e outros investimentos).</t>
  </si>
  <si>
    <t>Há abertura formal dos projetos de investimento?</t>
  </si>
  <si>
    <t>Há segregação da fonte de recursos/destino e objetivo?</t>
  </si>
  <si>
    <t>Estabelecer procedimento de abertura formal dos projetos de investimento, seja através de termos de abertura do projeto ou sistemicamente no módulo de gestão</t>
  </si>
  <si>
    <t>Garantir a inclusão do objetivo do projeto (destino -&gt; água, esgoto ou outros) e da estrutura de capital utilizada (origem -&gt; próprio, oneroso ou não onerosa) na declaração de abertura do projeto</t>
  </si>
  <si>
    <t>Garantir a inclusão do objetivo do projeto (destino -&gt; água, esgoto ou outros) ou da estrutura de capital utilizada (origem -&gt; próprio, oneroso ou não onerosa) na declaração de abertura do projeto</t>
  </si>
  <si>
    <t>Processo Tributário / Fiscal</t>
  </si>
  <si>
    <t>MP043</t>
  </si>
  <si>
    <t>Tributário / Fiscal</t>
  </si>
  <si>
    <t>Possuir políticas, normas e/ou procedimentos formalmente definidos, atualizados e divulgados a todos os colaboradores envolvidos, que contemplem, entre outros aspectos, os responsáveis, os prazos e a descrição das atividades críticas do processo fiscal/ tributário, tais como:</t>
  </si>
  <si>
    <t>- Cronograma para apuração dos impostos diretos e indiretos</t>
  </si>
  <si>
    <t>- Definição dos Critérios para composição da base de cálculo dos tributos e para identificação das despesas com relação as quais pode ser apurado crédito para abatimento do valor apurado no período</t>
  </si>
  <si>
    <t>- Conciliação dos valores apurados dos tributos diretos e indiretos com os registros dos livros fiscais e balancete contábil</t>
  </si>
  <si>
    <t>- Definição dos responsáveis pela revisão e Aprovação da apuração dos tributos indiretos e diretos e guias de pagamento.</t>
  </si>
  <si>
    <t>MP044</t>
  </si>
  <si>
    <t>Realizar cálculo automático dos impostos indiretos federais e municipal incidentes sobre a receita.</t>
  </si>
  <si>
    <t>Parametrizar o sistema para cálculo automático de alguns dos impostos incidentes sobre o faturamento (ex: PIS/PASEP), conforme alíquotas estabelecidas na legislação vigente.</t>
  </si>
  <si>
    <t>Parametrizar o sistema para cálculo automático de todos os impostos incidentes sobre o faturamento ( PIS/PASEP, COFINS, ISS), conforme alíquotas estabelecidas na legislação vigente.</t>
  </si>
  <si>
    <t>MP045</t>
  </si>
  <si>
    <t>Realizar conferência e aprovação formal da apuração dos impostos indiretos anterior à contabilização e emissão da guia de recolhimento por funcionário autorizado e diferente do responsável pela elaboração.</t>
  </si>
  <si>
    <t>Há conferência e aprovação por funcionário autorizado?</t>
  </si>
  <si>
    <t>Estabelecer procedimento para revisão e aprovação das apurações dos tributos indiretos</t>
  </si>
  <si>
    <t>Designar profissional com atribuição e qualificação compatível para a revisão da apuração dos tributos indiretos.</t>
  </si>
  <si>
    <t>MP046</t>
  </si>
  <si>
    <t>Realizar conferência e aprovação formal da apuração dos impostos diretos anterior à contabilização e emissão da guia de recolhimento por funcionário autorizado e diferente do responsável pela elaboração.</t>
  </si>
  <si>
    <t>Estabelecer procedimento para revisão e aprovação das apurações dos tributos diretos</t>
  </si>
  <si>
    <t>Designar profissional com atribuição e qualificação compatível para a revisão da apuração dos tributos diretos.</t>
  </si>
  <si>
    <t>- PIS</t>
  </si>
  <si>
    <t>- PASEP</t>
  </si>
  <si>
    <t>- COFINS</t>
  </si>
  <si>
    <t>- ISS</t>
  </si>
  <si>
    <t>O sistema está parametrizado para o cálculo dos impostos?</t>
  </si>
  <si>
    <t>Há sistema de gestão (Sim) ou o cálculo é manual (Não)?</t>
  </si>
  <si>
    <t>Nota Geral</t>
  </si>
  <si>
    <t>Há procedimento de revisão mensal dos novos itens inseridos nos ativos imobilizado e intangível?</t>
  </si>
  <si>
    <t>Há segregação das atividades de cadastro e revisão?</t>
  </si>
  <si>
    <t>O funcionário revisor é qualificado para a atividade?</t>
  </si>
  <si>
    <t>O sistema possibilita o controle individualizado dos custos em cada projeto de investimento em andamento?</t>
  </si>
  <si>
    <t>A contabilização de receitas é automática (sistema)?</t>
  </si>
  <si>
    <t>Há segurança adequada no processo de integração de sistemas?</t>
  </si>
  <si>
    <t>Os registros são segregados em centro de lucro / contas contábeis específicas por município e atividade?</t>
  </si>
  <si>
    <t>Criar uma estrutura contábil gerencial suficiente para segregação das receitas por município e atividade.</t>
  </si>
  <si>
    <t>Há políticas/ normas?</t>
  </si>
  <si>
    <t>Desenvolver e formalizar procedimento de revisão independente dos lançamentos e ajustes manuais direto no razão. Este procedimento pode ser uma revisão mensal abrangente dos lançamentos manuais ou uma parametrização do sistema para que qualquer lançamento manual seja submetido à aprovação por um nível de supervisão adequado.</t>
  </si>
  <si>
    <t>Possui parametrização no sistema  para impossibilitar lançamentos inconsistentes ou após o fechamento do período contábil?</t>
  </si>
  <si>
    <r>
      <t xml:space="preserve">Procedimentos formais para cálculo e constituição da Provisão para Devedores Duvidosos (PDD) e revisão por funcionário independente antes da contabilização
</t>
    </r>
    <r>
      <rPr>
        <i/>
        <sz val="11"/>
        <color theme="1"/>
        <rFont val="Calibri"/>
        <family val="2"/>
        <scheme val="minor"/>
      </rPr>
      <t xml:space="preserve">
PCLD - Provisão para Créditos de Liquidação Duvidosa</t>
    </r>
  </si>
  <si>
    <t>Há procedimento formal para cálculo e constituição da PDD (PCLD)?</t>
  </si>
  <si>
    <t>Há procedimento de revisão dos cálculos?</t>
  </si>
  <si>
    <t>O cálculo é automático no sistema conforme as diretrizes internas e legais?</t>
  </si>
  <si>
    <t>Desenvolver e formalizar procedimento de revisão do cálculo da PCLD.</t>
  </si>
  <si>
    <t>Estabelecer uma estrutura contábil gerencial no sistema de gestão que permita segregar os gastos por município e/ou serviço.</t>
  </si>
  <si>
    <t>Definir rotinas sistêmicas para efetuar o rateio automático das despesas/custos por município e/ou serviço.</t>
  </si>
  <si>
    <t>Há uma estrutura contábil gerencial que permite segregar as despesas/custos por município?</t>
  </si>
  <si>
    <t>Há uma estrutura contábil gerencial que permite segregar as despesas/custos por serviço (água e esgoto)?</t>
  </si>
  <si>
    <t>o processo de rateio é automatizado (com pouca intervenção manual)?</t>
  </si>
  <si>
    <t>- Recebimento e registro das informações de consumo de energia elétrica</t>
  </si>
  <si>
    <t>- Análise crítica das informações de consumo de energia elétrica</t>
  </si>
  <si>
    <t>Dentre as atividades destacadas para o processo de monitoramento do consumo energético, devem ser selecionadas as que possuem maior impacto nos resultados da organização. Depois da priorização, os normativos devem ser elaborados e formalmente divulgadas nos meios institucionais de comunicação (Ex: intranet).</t>
  </si>
  <si>
    <t>Realizar o levantamento das atividades do processo de monitoramento do consumo energético que não possuem políticas, normas e/ou procedimentos e promover a elaboração e divulgação dos normativos nos meios institucionais de comunicação (Ex: intranet).</t>
  </si>
  <si>
    <t>Realizar o levantamento das atividades destacadas para o processo de monitoramento do consumo energético que possuem políticas, normas e/ou procedimentos desatualizados e/ou não divulgados e promover a atualização e/ ou divulgação nos meios institucionais de comunicação (Ex: intranet).</t>
  </si>
  <si>
    <t>Desenvolver planilhas eletrônicas para realizar o registro mensal das faturas de energia elétrica e monitorar o consumo dos sistemas de água e esgoto.</t>
  </si>
  <si>
    <t>Desenvolver/adquirir sistema para realizar o registro e monitoramento das informações de consumo energético dos sistemas de abastecimento de água e esgotamento sanitário.</t>
  </si>
  <si>
    <t xml:space="preserve"> O monitoramento é feito por meio de software de gestão de energia elétrica (Sim) ou por registros manuais (Não)?</t>
  </si>
  <si>
    <t>Solicitar a concessionária de energia elétrica o envio mensal de arquivo eletrônico contendo as informações contidas nas faturas de energia elétrica.</t>
  </si>
  <si>
    <t>Efetuar parametrizações no sistema de gestão energética, de forma a possibilitar o registro automático das informações contidas nas faturas, a partir da compatibilização com o layout do arquivo eletrônico enviado pela concessionária de energia elétrica.</t>
  </si>
  <si>
    <t>A concessionária de energia elétrica disponibiliza mensalmente um arquivo eletrônico, possibilitando o cadastramento automático das informações de consumo de energia elétrica no sistema do prestador?</t>
  </si>
  <si>
    <t>Realizar o registro das unidades consumidoras no sistema de gestão energética ou em planilhas eletrônicas.</t>
  </si>
  <si>
    <t>Efetuar parametrizações no sistema de gestão energética para a realização automática do rateio do consumo de energia, apropriando os valores para os municípios com base nos critérios definidos.</t>
  </si>
  <si>
    <t xml:space="preserve">O rateio (caso aplicável) é realizado em software parametrizado ou manualmente? </t>
  </si>
  <si>
    <t>NA</t>
  </si>
  <si>
    <t>Estabelecer procedimento de revisão periódica das faturas de energia elétrica, contemplando o apontamento de distorções em relação ao histórico de consumo e valores de consumo não usuais ou fora da faixa esperada.</t>
  </si>
  <si>
    <t>Efetuar parametrizações no sistema de gestão energética para a realização de críticas automáticas das informações de energia elétrica, sinalizando valores fora da faixa esperada, não usuais ou discrepantes em relação ao histórico de consumo, faturas recebidas para unidades consumidoras não cadastradas e unidades consumidoras cadastradas sem fatura recebida.</t>
  </si>
  <si>
    <t>Introdução</t>
  </si>
  <si>
    <t>TEMA</t>
  </si>
  <si>
    <t>Na Prática - MPs e Checklist</t>
  </si>
  <si>
    <t>- Comercial</t>
  </si>
  <si>
    <t>- Recursos Humanos</t>
  </si>
  <si>
    <t>- Operacional</t>
  </si>
  <si>
    <t>- Consumo Energético</t>
  </si>
  <si>
    <t>- Qualidade da Água</t>
  </si>
  <si>
    <t>1º Dia - 4h (240 minutos)</t>
  </si>
  <si>
    <t>Tempo (minutos)</t>
  </si>
  <si>
    <t>MPs</t>
  </si>
  <si>
    <t>Minutos por MP</t>
  </si>
  <si>
    <t>Considerações Finais (Oficina entre Prestadores)</t>
  </si>
  <si>
    <t>2º Dia - 2h (120 minutos)</t>
  </si>
  <si>
    <t>Samuel</t>
  </si>
  <si>
    <t>Thiago</t>
  </si>
  <si>
    <t>Rita</t>
  </si>
  <si>
    <t>Dentre as atividades destacadas para o processo de manutenção da rede de esgoto, devem ser selecionadas as que possuem maior impacto nos resultados da organização. Depois da priorização, os normativos devem ser elaborados e formalmente divulgadas nos meios institucionais de comunicação (Ex: intranet).</t>
  </si>
  <si>
    <t>Realizar o levantamento das atividades do processo de manutenção da rede de esgoto que não possuem políticas, normas e/ou procedimentos e promover a elaboração e divulgação dos normativos nos meios institucionais de comunicação (Ex: intranet).</t>
  </si>
  <si>
    <t>Realizar o levantamento das atividades destacadas para o processo de manutenção da rede de esgoto que possuem políticas, normas e/ou procedimentos desatualizados e/ou não divulgados e promover a atualização e/ ou divulgação nos meios institucionais de comunicação (Ex: intranet).</t>
  </si>
  <si>
    <t>Realizar o acompanhamento dos serviços de manutenção executados por meio de ordens de serviços emitidas e cadastradas no sistema de gestão.</t>
  </si>
  <si>
    <t>Definir formalmente quais são os tipos de ordem de serviço que caracterizam a ocorrência de extravasamentos de esgoto.</t>
  </si>
  <si>
    <t>Implementar a nova classificação no sistema de gestão que realiza o controle do acompanhamento das ordens de serviço.</t>
  </si>
  <si>
    <t>As requisições e OS são controladas  por meio de software?</t>
  </si>
  <si>
    <r>
      <t xml:space="preserve">Acompanhar a execução de serviços de manutenção da rede de esgoto por
meio de software de gestão de chamados, possibilitando classificar de forma
adequada os casos de extravasamentos de esgoto.
</t>
    </r>
    <r>
      <rPr>
        <b/>
        <i/>
        <sz val="11"/>
        <color theme="1"/>
        <rFont val="Calibri"/>
        <family val="2"/>
        <scheme val="minor"/>
      </rPr>
      <t xml:space="preserve">
Observação: OS - Ordem de Serviços</t>
    </r>
  </si>
  <si>
    <t>É possível identificar de forma inequívoca quais OS referem-se a reparo de extravasamento de esgoto?</t>
  </si>
  <si>
    <t>Efetuar parametrizações no sistema de gestão para abertura automática da ordem de serviço de reparo da rede de esgoto a partir do recebimento da reclamação / solicitação do serviço.</t>
  </si>
  <si>
    <t>Há sistema de controle de OS?</t>
  </si>
  <si>
    <t>A ordem de serviço abre automaticamente mediante registro de reclamação/solicitação?</t>
  </si>
  <si>
    <t>Parametrizar o sistema de gestão para permitir à associação de várias reclamações / solicitações de serviço a uma única ordem de serviço.</t>
  </si>
  <si>
    <t>Parametrizar o sistema de gestão para emissão de alertas / críticas para ordens criadas em duplicidade (ex: ordens criadas em espaço de tempo curto e em uma mesma localidade ou região)</t>
  </si>
  <si>
    <t>O sistema de gestão emite alertas para ordens em duplicidade?</t>
  </si>
  <si>
    <r>
      <t xml:space="preserve">Realizar crítica para evitar a abertura de ordens de serviço de reparo de
extravasamento de esgoto em duplicidade (ex: recebimento de ocorrências no mesmo local em um curto espaço de tempo), permitindo associar a solicitação de serviço a uma OS já existente.
</t>
    </r>
    <r>
      <rPr>
        <b/>
        <i/>
        <sz val="11"/>
        <color theme="1"/>
        <rFont val="Calibri"/>
        <family val="2"/>
        <scheme val="minor"/>
      </rPr>
      <t>Observação: OS - Ordem de Serviço</t>
    </r>
  </si>
  <si>
    <t>O sistema permite associar reclamações/ solicitações a uma mesma OS?</t>
  </si>
  <si>
    <t>MP102</t>
  </si>
  <si>
    <t>MP103</t>
  </si>
  <si>
    <t>Desenvolver e formalizar política e/ou procedimento para concessão, revogação e revisão de acesso aos sistemas corporativos.</t>
  </si>
  <si>
    <t>Possuir procedimentos definidos para concessão, revogação e revisão de acessos dos sistemas corporativos, assegurando que somente usuários autorizados possuem acesso às transações críticas dos processos de negócio.</t>
  </si>
  <si>
    <t>Monitorar as transações críticas dos processos de negócio através da revisão periódica do "log" dos sistemas corporativos (trilha de auditoria).</t>
  </si>
  <si>
    <t>Avaliar a criação ou habilitação de trilha de auditoria nos principais sistemas de gestão, seja através da aplicação ou diretamente no banco de dados.</t>
  </si>
  <si>
    <t>Definir e formalizar procedimento para revisão periódica dos logs (trilhas de auditoria) dos principais sistemas de gestão e transações de negócio.</t>
  </si>
  <si>
    <r>
      <rPr>
        <b/>
        <i/>
        <sz val="11"/>
        <color theme="1"/>
        <rFont val="Calibri"/>
        <family val="2"/>
        <scheme val="minor"/>
      </rPr>
      <t>Observação:</t>
    </r>
    <r>
      <rPr>
        <i/>
        <sz val="11"/>
        <color theme="1"/>
        <rFont val="Calibri"/>
        <family val="2"/>
        <scheme val="minor"/>
      </rPr>
      <t xml:space="preserve"> Para responder "Sim" à primeira pergunta deve ser possível identificar </t>
    </r>
    <r>
      <rPr>
        <b/>
        <i/>
        <sz val="11"/>
        <color theme="1"/>
        <rFont val="Calibri"/>
        <family val="2"/>
        <scheme val="minor"/>
      </rPr>
      <t xml:space="preserve">data / horário / transação e usuário </t>
    </r>
    <r>
      <rPr>
        <i/>
        <sz val="11"/>
        <color theme="1"/>
        <rFont val="Calibri"/>
        <family val="2"/>
        <scheme val="minor"/>
      </rPr>
      <t xml:space="preserve">responsável por inclusões, alterações ou exclusões de registros. </t>
    </r>
  </si>
  <si>
    <t>Possuir políticas, normas e/ou procedimentos formalmente definidos,
atualizados e divulgados a todos os colaboradores envolvidos, que
contemplem, entre outros aspectos, os responsáveis, os prazos e a descrição das atividades críticas do processo operacional como:</t>
  </si>
  <si>
    <t>Dentre as atividades destacadas para o processo operacional, devem ser selecionadas as que possuem maior impacto nos resultados da organização. Depois da priorização, os normativos devem ser elaborados e formalmente divulgadas nos meios institucionais de comunicação (Ex: intranet).</t>
  </si>
  <si>
    <t>Realizar o levantamento das atividades do processo operacional que não possuem políticas, normas e/ou procedimentos e promover a elaboração e divulgação dos normativos nos meios institucionais de comunicação (Ex: intranet).</t>
  </si>
  <si>
    <t>Realizar o levantamento das atividades destacadas para o processo operacional que possuem políticas, normas e/ou procedimentos desatualizados e/ou não divulgados e promover a atualização e/ ou divulgação nos meios institucionais de comunicação (Ex: intranet).</t>
  </si>
  <si>
    <t>O cadastro dos macromedidores está atualizado?</t>
  </si>
  <si>
    <t>Realizar cadastramento dos macromedidores, registrando as informações de localização geográfica, marca/modelo, especificações técnicas e data de instalação e de outras operações relevantes.</t>
  </si>
  <si>
    <r>
      <t>Possuir</t>
    </r>
    <r>
      <rPr>
        <b/>
        <sz val="11"/>
        <color theme="1"/>
        <rFont val="Calibri"/>
        <family val="2"/>
        <scheme val="minor"/>
      </rPr>
      <t xml:space="preserve"> cadastro atualizado de macromedidores</t>
    </r>
    <r>
      <rPr>
        <sz val="11"/>
        <color theme="1"/>
        <rFont val="Calibri"/>
        <family val="2"/>
        <scheme val="minor"/>
      </rPr>
      <t xml:space="preserve"> dos sistemas de abastecimento de </t>
    </r>
    <r>
      <rPr>
        <b/>
        <sz val="11"/>
        <color theme="1"/>
        <rFont val="Calibri"/>
        <family val="2"/>
        <scheme val="minor"/>
      </rPr>
      <t>água e esgoto</t>
    </r>
    <r>
      <rPr>
        <sz val="11"/>
        <color theme="1"/>
        <rFont val="Calibri"/>
        <family val="2"/>
        <scheme val="minor"/>
      </rPr>
      <t>, contemplando as seguintes informações:</t>
    </r>
  </si>
  <si>
    <t>Estabelecer procedimento de revisão periódica do cadastro de macromedidores.</t>
  </si>
  <si>
    <t>Estabelecer procedimento de calibração periódica dos macromedidores dos sistemas de abastecimento de água e esgotamento sanitário.</t>
  </si>
  <si>
    <t>Realizar mapeamento das saídas das ETAs que não possuem macromedidores.</t>
  </si>
  <si>
    <t>Dimensionar e instalar os macromedidores nas saídas das ETAs que produzem os volumes de água mais representativos.</t>
  </si>
  <si>
    <t>Dimensionar e instalar os macromedidores nas saídas das ETAs que ainda não possuem medição.</t>
  </si>
  <si>
    <r>
      <t xml:space="preserve">Qual o percentual de faturas lidas de forma digital? 
</t>
    </r>
    <r>
      <rPr>
        <i/>
        <sz val="11"/>
        <color rgb="FFFF0000"/>
        <rFont val="Calibri"/>
        <family val="2"/>
        <scheme val="minor"/>
      </rPr>
      <t>[Numerais - em termos percentuais: ex: 85%]</t>
    </r>
  </si>
  <si>
    <r>
      <t xml:space="preserve">Registrar as unidades consumidoras, permitindo o controle do consumo e da despesa incorrida e possibilitando o rateio do consumo de energia do(s) município(s) atendido(s) pelos sistemas compartilhados (caso aplicável).
</t>
    </r>
    <r>
      <rPr>
        <b/>
        <i/>
        <sz val="11"/>
        <color rgb="FFFF0000"/>
        <rFont val="Calibri"/>
        <family val="2"/>
        <scheme val="minor"/>
      </rPr>
      <t xml:space="preserve">Observação: </t>
    </r>
    <r>
      <rPr>
        <i/>
        <sz val="11"/>
        <color rgb="FFFF0000"/>
        <rFont val="Calibri"/>
        <family val="2"/>
        <scheme val="minor"/>
      </rPr>
      <t>Para prestadores locais a segunda pergunta deve ser respondida com "NA".</t>
    </r>
  </si>
  <si>
    <t>Realizar mapeamento dos pontos de entrada de água tratada importada que não possuem macromedidores.</t>
  </si>
  <si>
    <t>Dimensionar e instalar os macromedidores nos pontos de entrada de água tratada que importam os volumes de água mais representativos.</t>
  </si>
  <si>
    <t>Dimensionar e instalar os macromedidores nos pontos de entrada de água tratada importada que ainda não possuem medição.</t>
  </si>
  <si>
    <t>Realizar mapeamento dos pontos de saída de água tratada exportada que não possuem macromedidores.</t>
  </si>
  <si>
    <t>Dimensionar e instalar os macromedidores nos pontos de saída de água que exportam os volumes de água mais representativos.</t>
  </si>
  <si>
    <t>Dimensionar e instalar os macromedidores nos pontos de saída de água tratada exportada que ainda não possuem medição.</t>
  </si>
  <si>
    <t>Realizar mapeamento das entradas das ETEs que não possuem macromedidores.</t>
  </si>
  <si>
    <t>Dimensionar e instalar os macromedidores nas entradas das ETEs que tratam os volumes de esgoto mais representativos.</t>
  </si>
  <si>
    <t>Dimensionar e instalar os macromedidores nas entradas das ETEs que ainda não possuem medição.</t>
  </si>
  <si>
    <t>Realizar mapeamento dos pontos de entrada de esgoto importado que não possuem macromedidores.</t>
  </si>
  <si>
    <t>Dimensionar e instalar os macromedidores nos pontos de entrada que importam os volumes de esgoto mais representativos.</t>
  </si>
  <si>
    <t>Dimensionar e instalar os macromedidores nos pontos de entrada de esgoto importado que ainda não possuem medição.</t>
  </si>
  <si>
    <t>Realizar mapeamento dos pontos de saída de esgoto exportado que não possuem macromedidores.</t>
  </si>
  <si>
    <t>Dimensionar e instalar os macromedidores nos pontos de saída que exportam os volumes de esgoto mais representativos.</t>
  </si>
  <si>
    <t>Dimensionar e instalar os macromedidores nos pontos de saída de esgoto exportado que ainda não possuem medição.</t>
  </si>
  <si>
    <t>Desenvolver/adquirir sistemas que possibilitem o registro manual dos volumes macromedidos/estimados de água e esgoto.</t>
  </si>
  <si>
    <t>Adquirir equipamentos e desenvolver/adquirir sistemas que permitam a integração automática com os macromedidores para o preenchimento automático das informações de volumes de água nos municípios mais relevantes.</t>
  </si>
  <si>
    <t>Adquirir equipamentos e desenvolver/adquirir sistemas que permitam a integração com os macromedidores para o preenchimento automático das informações de volumes de água nos municípios ainda não contemplados.</t>
  </si>
  <si>
    <t>Em todos os municípios (Sim), em alguns (Parcialmente) ou em nenhum (Não)?</t>
  </si>
  <si>
    <t>Acompanha os volumes macromedidos de água por meio de sistema integrado e alimentação automática da base de dados?</t>
  </si>
  <si>
    <t>Realizar o acompanhamento em sistema ou planilha eletrônica dos volumes consumidos nos tipos de atividades especiais considerados mais relevantes para o prestador.</t>
  </si>
  <si>
    <t>Realizar o acompanhamento em sistema ou planilha eletrônica dos volumes consumidos em todos os tipos de atividades especiais.</t>
  </si>
  <si>
    <t>Realizar o acompanhamento em sistema ou planilha eletrônica dos volumes consumidos nos tipos de atividades operacionais considerados mais relevantes para o prestador.</t>
  </si>
  <si>
    <t>Realizar o acompanhamento em sistema ou planilha eletrônica dos volumes consumidos em todos os tipos de atividades operacionais.</t>
  </si>
  <si>
    <r>
      <t xml:space="preserve">Acompanhar os volumes do consumo destinado a </t>
    </r>
    <r>
      <rPr>
        <b/>
        <sz val="11"/>
        <color theme="1"/>
        <rFont val="Calibri"/>
        <family val="2"/>
        <scheme val="minor"/>
      </rPr>
      <t>atividades operacionais</t>
    </r>
    <r>
      <rPr>
        <sz val="11"/>
        <color theme="1"/>
        <rFont val="Calibri"/>
        <family val="2"/>
        <scheme val="minor"/>
      </rPr>
      <t>, envolvendo:</t>
    </r>
  </si>
  <si>
    <r>
      <t xml:space="preserve">Acompanhar os volumes do consumo destinado a </t>
    </r>
    <r>
      <rPr>
        <b/>
        <sz val="11"/>
        <color theme="1"/>
        <rFont val="Calibri"/>
        <family val="2"/>
        <scheme val="minor"/>
      </rPr>
      <t>atividades especiais</t>
    </r>
    <r>
      <rPr>
        <sz val="11"/>
        <color theme="1"/>
        <rFont val="Calibri"/>
        <family val="2"/>
        <scheme val="minor"/>
      </rPr>
      <t>,</t>
    </r>
    <r>
      <rPr>
        <b/>
        <sz val="11"/>
        <color theme="1"/>
        <rFont val="Calibri"/>
        <family val="2"/>
        <scheme val="minor"/>
      </rPr>
      <t xml:space="preserve">
</t>
    </r>
    <r>
      <rPr>
        <sz val="11"/>
        <color theme="1"/>
        <rFont val="Calibri"/>
        <family val="2"/>
        <scheme val="minor"/>
      </rPr>
      <t>envolvendo:</t>
    </r>
  </si>
  <si>
    <t>Desenvolver e formalizar documento indicando o procedimento para estimativa de volume de água recuperado em decorrência de fraudes, com base nas caracterísiticas das ligações eliminadas.</t>
  </si>
  <si>
    <t>Realizar registro e acompanhamento dos volumes de água recuperados em decorrência de ligações clandestinas e fraudes por meio de sistema/planilha eletrônica.</t>
  </si>
  <si>
    <r>
      <t xml:space="preserve">Existência de procedimento definido para estimativa e registro do </t>
    </r>
    <r>
      <rPr>
        <b/>
        <sz val="11"/>
        <color theme="1"/>
        <rFont val="Calibri"/>
        <family val="2"/>
        <scheme val="minor"/>
      </rPr>
      <t>volume de água recuperado</t>
    </r>
    <r>
      <rPr>
        <sz val="11"/>
        <color theme="1"/>
        <rFont val="Calibri"/>
        <family val="2"/>
        <scheme val="minor"/>
      </rPr>
      <t>.</t>
    </r>
  </si>
  <si>
    <t>MP064</t>
  </si>
  <si>
    <t>MP065</t>
  </si>
  <si>
    <t>MP066</t>
  </si>
  <si>
    <t>MP067</t>
  </si>
  <si>
    <t>Monitoramento dos Índices de Atendimento</t>
  </si>
  <si>
    <t>Processo de Monitoramento dos Índices de Atendimento</t>
  </si>
  <si>
    <t>Dispor de políticas, normas e/ou procedimentos formalmente definidos, atualizados e divulgados a todos os colaboradores envolvidos, que contemplem, entre outros aspectos, os responsáveis, os prazos e a descrição das atividades críticas do processo de monitoramento dos índices de atendimento, tais como:</t>
  </si>
  <si>
    <t>Coleta das informações para cálculo/ estimativa de população atendida.</t>
  </si>
  <si>
    <t>Realização do cálculo/ estimativa de população atendida.</t>
  </si>
  <si>
    <t>Dentre as atividades destacadas para o processo de monitoramento dos índices de atendimento, devem ser selecionadas as que possuem maior impacto nos resultados da organização. Depois da priorização, os normativos devem ser elaborados e formalmente divulgadas nos meios institucionais de comunicação (Ex: intranet).</t>
  </si>
  <si>
    <t>Realizar o levantamento das atividades do processo de monitoramento dos índices de atendimento que não possuem políticas, normas e/ou procedimentos e promover a elaboração e divulgação dos normativos nos meios institucionais de comunicação (Ex: intranet).</t>
  </si>
  <si>
    <t>Realizar o levantamento das atividades destacadas para o processo de monitoramento dos índices de atendimento que possuem políticas, normas e/ou procedimentos desatualizados e/ou não divulgados e promover a atualização e/ ou divulgação nos meios institucionais de comunicação (Ex: intranet).</t>
  </si>
  <si>
    <t>Há registros?</t>
  </si>
  <si>
    <t>Os registros são atualizados?</t>
  </si>
  <si>
    <t>Estimar a quantidade de domicílios atendidos que não contam com população residente através de informações fornecidas pelo IBGE no último Censo.</t>
  </si>
  <si>
    <t>Revisar a base cadastral de clientes, com o objetivo de identificar e registrar os domicílios que não contam com população residente, como exemplo, os utilizados para veraneio, finais de semana, imóveis desocupados, dentre outros.</t>
  </si>
  <si>
    <r>
      <t xml:space="preserve">Possuir o registro atualizado dos </t>
    </r>
    <r>
      <rPr>
        <b/>
        <sz val="11"/>
        <color theme="1"/>
        <rFont val="Calibri"/>
        <family val="2"/>
        <scheme val="minor"/>
      </rPr>
      <t>domicílios</t>
    </r>
    <r>
      <rPr>
        <sz val="11"/>
        <color theme="1"/>
        <rFont val="Calibri"/>
        <family val="2"/>
        <scheme val="minor"/>
      </rPr>
      <t xml:space="preserve"> atendidos e </t>
    </r>
    <r>
      <rPr>
        <b/>
        <sz val="11"/>
        <color theme="1"/>
        <rFont val="Calibri"/>
        <family val="2"/>
        <scheme val="minor"/>
      </rPr>
      <t>que não contam com população residente</t>
    </r>
    <r>
      <rPr>
        <sz val="11"/>
        <color theme="1"/>
        <rFont val="Calibri"/>
        <family val="2"/>
        <scheme val="minor"/>
      </rPr>
      <t xml:space="preserve"> (ex: domicílios utilizados para veraneio, domicílios utilizados somente em finais de semana, imóveis desocupados, dentre outros)</t>
    </r>
  </si>
  <si>
    <r>
      <t xml:space="preserve">Possuir o registro atualizado dos </t>
    </r>
    <r>
      <rPr>
        <b/>
        <sz val="11"/>
        <color theme="1"/>
        <rFont val="Calibri"/>
        <family val="2"/>
        <scheme val="minor"/>
      </rPr>
      <t>domicílios atendidos</t>
    </r>
    <r>
      <rPr>
        <sz val="11"/>
        <color theme="1"/>
        <rFont val="Calibri"/>
        <family val="2"/>
        <scheme val="minor"/>
      </rPr>
      <t xml:space="preserve">, possibilitando a identificação das </t>
    </r>
    <r>
      <rPr>
        <b/>
        <sz val="11"/>
        <color theme="1"/>
        <rFont val="Calibri"/>
        <family val="2"/>
        <scheme val="minor"/>
      </rPr>
      <t>economias localizadas em áreas urbanas</t>
    </r>
    <r>
      <rPr>
        <sz val="11"/>
        <color theme="1"/>
        <rFont val="Calibri"/>
        <family val="2"/>
        <scheme val="minor"/>
      </rPr>
      <t>.</t>
    </r>
  </si>
  <si>
    <t>Realizar a estimativa do percentual de domicílios localizados nas áreas urbanas dos municípios atendidos a partir de informações fornecidas pelo IBGE no último Censo.</t>
  </si>
  <si>
    <t>Revisar a base cadastral de clientes, com o objetivo de identificar e registrar a informação de área urbana ou rural em todas as ligações / economias.</t>
  </si>
  <si>
    <r>
      <t xml:space="preserve">Realizar o </t>
    </r>
    <r>
      <rPr>
        <b/>
        <sz val="11"/>
        <color theme="1"/>
        <rFont val="Calibri"/>
        <family val="2"/>
        <scheme val="minor"/>
      </rPr>
      <t>cálculo de população atendida</t>
    </r>
    <r>
      <rPr>
        <sz val="11"/>
        <color theme="1"/>
        <rFont val="Calibri"/>
        <family val="2"/>
        <scheme val="minor"/>
      </rPr>
      <t>:
- Por meio de estimativa da população atendida, através do produto da quantidade de economias residenciais ativas (de água e esgoto, totais ou apenas na zona urbana), multiplicada pela taxa média de habitantes por domicílio do respectivo município, obtida no último Censo ou Contagem de População do IBGE.
Ou
- Através da utilização de procedimento próprio que permita o cálculo preciso ou estimado das informações de população.</t>
    </r>
  </si>
  <si>
    <t>Desenvolver metodologia para cálculo estimado das informações de população atendida.</t>
  </si>
  <si>
    <t>Realizar o cálculo das informações de população atendida a partir de informações do IBGE e de quantidade de economias, conforme indicado no Glossário do SNIS, ou desenvolver metodologia própria que permita o cálculo preciso das informações de população atendida.</t>
  </si>
  <si>
    <t>Prestador realiza cálculo de população atendida?</t>
  </si>
  <si>
    <t>O procedimento  permite cálculo preciso das informações de população atendida?</t>
  </si>
  <si>
    <t>Instrutor</t>
  </si>
  <si>
    <t>Alexandre</t>
  </si>
  <si>
    <t>Samuel / Thiago</t>
  </si>
  <si>
    <t>Alexandre / Rita</t>
  </si>
  <si>
    <t>Cronograma Cursos</t>
  </si>
  <si>
    <t>ASSEMAE - 2019</t>
  </si>
  <si>
    <t>- O Acertar: Breve Histórico, Metodologia e Objetivos
- Os Processos de Gestão, Pilares e Checklist</t>
  </si>
  <si>
    <t>Samuel / Rita</t>
  </si>
  <si>
    <t>Intervalo</t>
  </si>
  <si>
    <t xml:space="preserve">Financeira  </t>
  </si>
  <si>
    <t xml:space="preserve">Recursos Humanos </t>
  </si>
  <si>
    <t xml:space="preserve">Suprimentos, Compras e Contratos </t>
  </si>
  <si>
    <t xml:space="preserve">Tributária </t>
  </si>
  <si>
    <t xml:space="preserve">Ativos e Investimentos </t>
  </si>
  <si>
    <t xml:space="preserve">Contábil </t>
  </si>
  <si>
    <t xml:space="preserve">Monitoramento dos índices de atendimento </t>
  </si>
  <si>
    <t xml:space="preserve">Manutenção do Cadastros de Redes </t>
  </si>
  <si>
    <t xml:space="preserve">Processo Operacional </t>
  </si>
  <si>
    <t>Monitoramento do Consumo Energético</t>
  </si>
  <si>
    <t xml:space="preserve">Manutenção da Rede de Esgoto </t>
  </si>
  <si>
    <t xml:space="preserve">Controle da Qualidade da Água </t>
  </si>
  <si>
    <t>Gestão de Tecnologia da Informação</t>
  </si>
  <si>
    <t>MP</t>
  </si>
  <si>
    <t>Ações Recomendadas</t>
  </si>
  <si>
    <t>MP001_1</t>
  </si>
  <si>
    <t>MP001_2</t>
  </si>
  <si>
    <t>MP001_3</t>
  </si>
  <si>
    <t>MP002_1</t>
  </si>
  <si>
    <t>MP002_2</t>
  </si>
  <si>
    <t>MP002_3</t>
  </si>
  <si>
    <t>MP003_1</t>
  </si>
  <si>
    <t>MP003_2</t>
  </si>
  <si>
    <t>MP004_1</t>
  </si>
  <si>
    <t>MP005_1</t>
  </si>
  <si>
    <t>MP006_1</t>
  </si>
  <si>
    <t>MP006_2</t>
  </si>
  <si>
    <t>MP006_3</t>
  </si>
  <si>
    <t>MP007_1</t>
  </si>
  <si>
    <t>MP007_2</t>
  </si>
  <si>
    <t>MP008_1</t>
  </si>
  <si>
    <t>MP008_2</t>
  </si>
  <si>
    <t>MP008_3</t>
  </si>
  <si>
    <t>MP009_1</t>
  </si>
  <si>
    <t>MP009_2</t>
  </si>
  <si>
    <t>MP009_3</t>
  </si>
  <si>
    <t>MP010_1</t>
  </si>
  <si>
    <t>MP010_2</t>
  </si>
  <si>
    <t>MP011_1</t>
  </si>
  <si>
    <t>MP011_2</t>
  </si>
  <si>
    <t>MP011_3</t>
  </si>
  <si>
    <t>MP011_4</t>
  </si>
  <si>
    <t>MP012_1</t>
  </si>
  <si>
    <t>MP012_2</t>
  </si>
  <si>
    <t>MP013_1</t>
  </si>
  <si>
    <t>MP013_2</t>
  </si>
  <si>
    <t>MP014_1</t>
  </si>
  <si>
    <t>MP014_2</t>
  </si>
  <si>
    <t>MP015_1</t>
  </si>
  <si>
    <t>MP015_2</t>
  </si>
  <si>
    <t>MP016_1</t>
  </si>
  <si>
    <t>MP016_2</t>
  </si>
  <si>
    <t>MP017_1</t>
  </si>
  <si>
    <t>MP017_2</t>
  </si>
  <si>
    <t>MP017_3</t>
  </si>
  <si>
    <t>MP018_1</t>
  </si>
  <si>
    <t>MP019_1</t>
  </si>
  <si>
    <t>MP019_2</t>
  </si>
  <si>
    <t>MP019_3</t>
  </si>
  <si>
    <t>MP020_1</t>
  </si>
  <si>
    <t>MP021_1</t>
  </si>
  <si>
    <t>MP022_1</t>
  </si>
  <si>
    <t>MP022_2</t>
  </si>
  <si>
    <t>MP022_3</t>
  </si>
  <si>
    <t>MP023_1</t>
  </si>
  <si>
    <t>MP023_2</t>
  </si>
  <si>
    <t>MP023_3</t>
  </si>
  <si>
    <t>MP024_1</t>
  </si>
  <si>
    <t>MP025_1</t>
  </si>
  <si>
    <t>MP025_2</t>
  </si>
  <si>
    <t>MP026_1</t>
  </si>
  <si>
    <t>MP027_1</t>
  </si>
  <si>
    <t>MP028_1</t>
  </si>
  <si>
    <t>MP029_1</t>
  </si>
  <si>
    <t>MP030_1</t>
  </si>
  <si>
    <t>MP030_2</t>
  </si>
  <si>
    <t>MP037_1</t>
  </si>
  <si>
    <t>MP038_2</t>
  </si>
  <si>
    <t>MP039_1</t>
  </si>
  <si>
    <t>MP039_2</t>
  </si>
  <si>
    <t>MP040_1</t>
  </si>
  <si>
    <t>MP041_1</t>
  </si>
  <si>
    <t>MP041_2</t>
  </si>
  <si>
    <t>MP042_1</t>
  </si>
  <si>
    <t>MP031_1</t>
  </si>
  <si>
    <t>MP031_2</t>
  </si>
  <si>
    <t>MP031_3</t>
  </si>
  <si>
    <t>MP032_1</t>
  </si>
  <si>
    <t>MP032_2</t>
  </si>
  <si>
    <t>MP032_3</t>
  </si>
  <si>
    <t>MP033_1</t>
  </si>
  <si>
    <t>MP033_2</t>
  </si>
  <si>
    <t>MP034_1</t>
  </si>
  <si>
    <t>MP035_1</t>
  </si>
  <si>
    <t>MP035_2</t>
  </si>
  <si>
    <t>MP036_1</t>
  </si>
  <si>
    <t>MP043_1</t>
  </si>
  <si>
    <t>MP043_2</t>
  </si>
  <si>
    <t>MP043_3</t>
  </si>
  <si>
    <t>MP044_1</t>
  </si>
  <si>
    <t>MP044_2</t>
  </si>
  <si>
    <t>MP045_1</t>
  </si>
  <si>
    <t>MP045_2</t>
  </si>
  <si>
    <t>MP046_1</t>
  </si>
  <si>
    <t>MP046_2</t>
  </si>
  <si>
    <t>MP047_1</t>
  </si>
  <si>
    <t>MP047_2</t>
  </si>
  <si>
    <t>MP047_3</t>
  </si>
  <si>
    <t>MP048_1</t>
  </si>
  <si>
    <t>MP048_2</t>
  </si>
  <si>
    <t>MP048_3</t>
  </si>
  <si>
    <t>MP049_1</t>
  </si>
  <si>
    <t>MP050_1</t>
  </si>
  <si>
    <t>MP051_1</t>
  </si>
  <si>
    <t>MP052_1</t>
  </si>
  <si>
    <t>MP052_2</t>
  </si>
  <si>
    <t>MP052_3</t>
  </si>
  <si>
    <t>MP053_1</t>
  </si>
  <si>
    <t>MP054_1</t>
  </si>
  <si>
    <t>MP055_1</t>
  </si>
  <si>
    <t>MP055_2</t>
  </si>
  <si>
    <t>MP055_3</t>
  </si>
  <si>
    <t>MP056_1</t>
  </si>
  <si>
    <t>MP056_2</t>
  </si>
  <si>
    <t>MP056_3</t>
  </si>
  <si>
    <t>MP057_1</t>
  </si>
  <si>
    <t>MP057_2</t>
  </si>
  <si>
    <t>MP057_3</t>
  </si>
  <si>
    <t>MP058_1</t>
  </si>
  <si>
    <t>MP059_1</t>
  </si>
  <si>
    <t>MP060_1</t>
  </si>
  <si>
    <t>MP061_1</t>
  </si>
  <si>
    <t>MP061_2</t>
  </si>
  <si>
    <t>MP061_3</t>
  </si>
  <si>
    <t>MP061_4</t>
  </si>
  <si>
    <t>MP062_1</t>
  </si>
  <si>
    <t>MP062_2</t>
  </si>
  <si>
    <t>MP063_1</t>
  </si>
  <si>
    <t>MP063_2</t>
  </si>
  <si>
    <t>MP064_1</t>
  </si>
  <si>
    <t>MP064_2</t>
  </si>
  <si>
    <t>MP064_3</t>
  </si>
  <si>
    <t>MP065_1</t>
  </si>
  <si>
    <t>MP065_2</t>
  </si>
  <si>
    <t>MP066_1</t>
  </si>
  <si>
    <t>MP066_2</t>
  </si>
  <si>
    <t>MP067_1</t>
  </si>
  <si>
    <t>MP067_2</t>
  </si>
  <si>
    <t>MP068_1</t>
  </si>
  <si>
    <t>MP068_2</t>
  </si>
  <si>
    <t>MP068_3</t>
  </si>
  <si>
    <t>MP069_1</t>
  </si>
  <si>
    <t>MP070_1</t>
  </si>
  <si>
    <t>MP070_2</t>
  </si>
  <si>
    <t>MP071_1</t>
  </si>
  <si>
    <t>MP071_2</t>
  </si>
  <si>
    <t>MP072_1</t>
  </si>
  <si>
    <t>MP073_1</t>
  </si>
  <si>
    <t>MP073_2</t>
  </si>
  <si>
    <t>MP073_3</t>
  </si>
  <si>
    <t>MP074_1</t>
  </si>
  <si>
    <t>MP074_2</t>
  </si>
  <si>
    <t>MP075_1</t>
  </si>
  <si>
    <t>MP076_1</t>
  </si>
  <si>
    <t>MP076_2</t>
  </si>
  <si>
    <t>MP076_3</t>
  </si>
  <si>
    <t>MP077_1</t>
  </si>
  <si>
    <t>MP077_2</t>
  </si>
  <si>
    <t>MP077_3</t>
  </si>
  <si>
    <t>MP078_3</t>
  </si>
  <si>
    <t>MP078_1</t>
  </si>
  <si>
    <t>MP078_2</t>
  </si>
  <si>
    <t>MP079_1</t>
  </si>
  <si>
    <t>MP079_2</t>
  </si>
  <si>
    <t>MP079_3</t>
  </si>
  <si>
    <t>MP080_1</t>
  </si>
  <si>
    <t>MP080_2</t>
  </si>
  <si>
    <t>MP080_3</t>
  </si>
  <si>
    <t>MP081_3</t>
  </si>
  <si>
    <t>MP081_1</t>
  </si>
  <si>
    <t>MP081_2</t>
  </si>
  <si>
    <t>MP082_1</t>
  </si>
  <si>
    <t>MP082_2</t>
  </si>
  <si>
    <t>MP082_3</t>
  </si>
  <si>
    <t>MP083_1</t>
  </si>
  <si>
    <t>MP083_2</t>
  </si>
  <si>
    <t>MP084_1</t>
  </si>
  <si>
    <t>MP084_2</t>
  </si>
  <si>
    <t>MP085_1</t>
  </si>
  <si>
    <t>MP085_2</t>
  </si>
  <si>
    <t>MP086_1</t>
  </si>
  <si>
    <t>MP086_2</t>
  </si>
  <si>
    <t>MP086_3</t>
  </si>
  <si>
    <t>MP087_1</t>
  </si>
  <si>
    <t>MP087_2</t>
  </si>
  <si>
    <t>MP088_1</t>
  </si>
  <si>
    <t>MP088_2</t>
  </si>
  <si>
    <t>MP089_1</t>
  </si>
  <si>
    <t>MP089_2</t>
  </si>
  <si>
    <t>MP090_1</t>
  </si>
  <si>
    <t>MP090_2</t>
  </si>
  <si>
    <t>MP091_1</t>
  </si>
  <si>
    <t>MP091_2</t>
  </si>
  <si>
    <t>MP091_3</t>
  </si>
  <si>
    <t>MP092_1</t>
  </si>
  <si>
    <t>MP093_1</t>
  </si>
  <si>
    <t>MP093_2</t>
  </si>
  <si>
    <t>MP093_3</t>
  </si>
  <si>
    <t>MP094_1</t>
  </si>
  <si>
    <t>MP095_1</t>
  </si>
  <si>
    <t>MP095_2</t>
  </si>
  <si>
    <t>MP096_1</t>
  </si>
  <si>
    <t>MP096_2</t>
  </si>
  <si>
    <t>MP096_3</t>
  </si>
  <si>
    <t>MP097_1</t>
  </si>
  <si>
    <t>MP097_2</t>
  </si>
  <si>
    <t>MP097_3</t>
  </si>
  <si>
    <t>MP097_4</t>
  </si>
  <si>
    <t>MP097_5</t>
  </si>
  <si>
    <t>MP098_1</t>
  </si>
  <si>
    <t>MP098_2</t>
  </si>
  <si>
    <t>MP099_1</t>
  </si>
  <si>
    <t>MP099_2</t>
  </si>
  <si>
    <t>MP099_3</t>
  </si>
  <si>
    <t>MP100_1</t>
  </si>
  <si>
    <t>MP100_2</t>
  </si>
  <si>
    <t>MP101_1</t>
  </si>
  <si>
    <t>MP102_1</t>
  </si>
  <si>
    <t>MP103_1</t>
  </si>
  <si>
    <t>MP103_2</t>
  </si>
  <si>
    <t>Paulo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</si>
</sst>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1" x14ac:knownFonts="1">
    <font>
      <sz val="11"/>
      <color theme="1"/>
      <name val="Calibri"/>
      <family val="2"/>
      <scheme val="minor"/>
    </font>
    <font>
      <sz val="11"/>
      <color rgb="FF3F3F76"/>
      <name val="Calibri"/>
      <family val="2"/>
      <scheme val="minor"/>
    </font>
    <font>
      <b/>
      <sz val="11"/>
      <color theme="1"/>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b/>
      <i/>
      <sz val="11"/>
      <color theme="1"/>
      <name val="Calibri"/>
      <family val="2"/>
      <scheme val="minor"/>
    </font>
    <font>
      <i/>
      <sz val="11"/>
      <color theme="1"/>
      <name val="Calibri"/>
      <family val="2"/>
      <scheme val="minor"/>
    </font>
    <font>
      <sz val="9"/>
      <color indexed="81"/>
      <name val="Segoe UI"/>
      <family val="2"/>
    </font>
    <font>
      <b/>
      <sz val="9"/>
      <color indexed="81"/>
      <name val="Segoe UI"/>
      <family val="2"/>
    </font>
    <font>
      <b/>
      <sz val="11"/>
      <name val="Calibri"/>
      <family val="2"/>
      <scheme val="minor"/>
    </font>
    <font>
      <b/>
      <sz val="11"/>
      <color rgb="FFFF0000"/>
      <name val="Calibri"/>
      <family val="2"/>
      <scheme val="minor"/>
    </font>
    <font>
      <b/>
      <sz val="10"/>
      <color theme="1"/>
      <name val="Calibri"/>
      <family val="2"/>
      <scheme val="minor"/>
    </font>
    <font>
      <sz val="11"/>
      <color theme="1"/>
      <name val="Calibri"/>
      <family val="2"/>
      <scheme val="minor"/>
    </font>
    <font>
      <i/>
      <sz val="11"/>
      <color rgb="FFFF0000"/>
      <name val="Calibri"/>
      <family val="2"/>
      <scheme val="minor"/>
    </font>
    <font>
      <b/>
      <i/>
      <sz val="11"/>
      <color rgb="FFFF0000"/>
      <name val="Calibri"/>
      <family val="2"/>
      <scheme val="minor"/>
    </font>
    <font>
      <b/>
      <sz val="11"/>
      <color theme="4"/>
      <name val="Calibri"/>
      <family val="2"/>
      <scheme val="minor"/>
    </font>
    <font>
      <sz val="11"/>
      <color theme="0"/>
      <name val="Calibri"/>
      <family val="2"/>
      <scheme val="minor"/>
    </font>
    <font>
      <sz val="11"/>
      <color rgb="FF000000"/>
      <name val="Calibri"/>
      <family val="2"/>
      <scheme val="minor"/>
    </font>
    <font>
      <sz val="10"/>
      <color theme="0"/>
      <name val="Calibri"/>
      <family val="2"/>
      <scheme val="minor"/>
    </font>
    <font>
      <b/>
      <sz val="11"/>
      <color theme="9" tint="-0.249977111117893"/>
      <name val="Calibri"/>
      <family val="2"/>
      <scheme val="minor"/>
    </font>
  </fonts>
  <fills count="9">
    <fill>
      <patternFill patternType="none"/>
    </fill>
    <fill>
      <patternFill patternType="gray125"/>
    </fill>
    <fill>
      <patternFill patternType="solid">
        <fgColor rgb="FFFFCC99"/>
      </patternFill>
    </fill>
    <fill>
      <patternFill patternType="solid">
        <fgColor theme="4" tint="0.79998168889431442"/>
        <bgColor indexed="64"/>
      </patternFill>
    </fill>
    <fill>
      <patternFill patternType="solid">
        <fgColor rgb="FFF2F2F2"/>
      </patternFill>
    </fill>
    <fill>
      <patternFill patternType="solid">
        <fgColor theme="3"/>
        <bgColor indexed="64"/>
      </patternFill>
    </fill>
    <fill>
      <patternFill patternType="solid">
        <fgColor theme="8" tint="0.79998168889431442"/>
        <bgColor indexed="64"/>
      </patternFill>
    </fill>
    <fill>
      <patternFill patternType="solid">
        <fgColor rgb="FFF2F2F2"/>
        <bgColor indexed="64"/>
      </patternFill>
    </fill>
    <fill>
      <patternFill patternType="solid">
        <fgColor theme="6" tint="0.79998168889431442"/>
        <bgColor indexed="64"/>
      </patternFill>
    </fill>
  </fills>
  <borders count="27">
    <border>
      <left/>
      <right/>
      <top/>
      <bottom/>
      <diagonal/>
    </border>
    <border>
      <left style="thin">
        <color rgb="FF7F7F7F"/>
      </left>
      <right style="thin">
        <color rgb="FF7F7F7F"/>
      </right>
      <top style="thin">
        <color rgb="FF7F7F7F"/>
      </top>
      <bottom style="thin">
        <color rgb="FF7F7F7F"/>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diagonal/>
    </border>
    <border>
      <left style="thin">
        <color rgb="FF7F7F7F"/>
      </left>
      <right style="thin">
        <color rgb="FF7F7F7F"/>
      </right>
      <top/>
      <bottom/>
      <diagonal/>
    </border>
    <border>
      <left style="thin">
        <color rgb="FF7F7F7F"/>
      </left>
      <right style="thin">
        <color rgb="FF7F7F7F"/>
      </right>
      <top/>
      <bottom style="thin">
        <color rgb="FF7F7F7F"/>
      </bottom>
      <diagonal/>
    </border>
    <border>
      <left style="thin">
        <color rgb="FF3F3F3F"/>
      </left>
      <right style="thin">
        <color rgb="FF3F3F3F"/>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bottom/>
      <diagonal/>
    </border>
  </borders>
  <cellStyleXfs count="5">
    <xf numFmtId="0" fontId="0" fillId="0" borderId="0"/>
    <xf numFmtId="0" fontId="1" fillId="2" borderId="1" applyNumberFormat="0" applyAlignment="0" applyProtection="0"/>
    <xf numFmtId="0" fontId="3" fillId="4" borderId="9" applyNumberFormat="0" applyAlignment="0" applyProtection="0"/>
    <xf numFmtId="0" fontId="4" fillId="4" borderId="1" applyNumberFormat="0" applyAlignment="0" applyProtection="0"/>
    <xf numFmtId="43" fontId="13" fillId="0" borderId="0" applyFont="0" applyFill="0" applyBorder="0" applyAlignment="0" applyProtection="0"/>
  </cellStyleXfs>
  <cellXfs count="169">
    <xf numFmtId="0" fontId="0" fillId="0" borderId="0" xfId="0"/>
    <xf numFmtId="0" fontId="0" fillId="0" borderId="0" xfId="0" applyAlignment="1">
      <alignment wrapText="1"/>
    </xf>
    <xf numFmtId="0" fontId="0" fillId="0" borderId="0" xfId="0" applyAlignment="1">
      <alignment horizontal="center" wrapText="1"/>
    </xf>
    <xf numFmtId="0" fontId="0" fillId="0" borderId="0" xfId="0" applyAlignment="1">
      <alignment horizontal="center"/>
    </xf>
    <xf numFmtId="0" fontId="2" fillId="0" borderId="0" xfId="0" applyFont="1"/>
    <xf numFmtId="0" fontId="0" fillId="0" borderId="6" xfId="0" applyBorder="1" applyAlignment="1">
      <alignment horizontal="center"/>
    </xf>
    <xf numFmtId="0" fontId="0" fillId="0" borderId="0" xfId="0" quotePrefix="1" applyAlignment="1">
      <alignment horizontal="center"/>
    </xf>
    <xf numFmtId="0" fontId="1" fillId="2" borderId="1" xfId="1" applyAlignment="1">
      <alignment horizontal="center"/>
    </xf>
    <xf numFmtId="0" fontId="0" fillId="3" borderId="6" xfId="0" applyFill="1" applyBorder="1" applyAlignment="1">
      <alignment horizontal="center" vertical="center" wrapText="1"/>
    </xf>
    <xf numFmtId="0" fontId="0" fillId="3" borderId="6" xfId="0" applyFill="1" applyBorder="1" applyAlignment="1">
      <alignment horizontal="center" wrapText="1"/>
    </xf>
    <xf numFmtId="0" fontId="1" fillId="2" borderId="6" xfId="1" applyBorder="1" applyAlignment="1">
      <alignment horizontal="center" wrapText="1"/>
    </xf>
    <xf numFmtId="0" fontId="0" fillId="3" borderId="6" xfId="0" applyFill="1" applyBorder="1" applyAlignment="1">
      <alignment horizontal="center"/>
    </xf>
    <xf numFmtId="0" fontId="4" fillId="4" borderId="6" xfId="3" applyBorder="1" applyAlignment="1">
      <alignment horizontal="center" wrapText="1"/>
    </xf>
    <xf numFmtId="0" fontId="4" fillId="4" borderId="6" xfId="3" applyBorder="1" applyAlignment="1">
      <alignment horizontal="center"/>
    </xf>
    <xf numFmtId="0" fontId="3" fillId="4" borderId="6" xfId="2" applyBorder="1" applyAlignment="1">
      <alignment horizontal="center"/>
    </xf>
    <xf numFmtId="0" fontId="0" fillId="3" borderId="6" xfId="0" applyFill="1" applyBorder="1" applyAlignment="1">
      <alignment horizontal="center" vertical="center"/>
    </xf>
    <xf numFmtId="0" fontId="0" fillId="3" borderId="6" xfId="0" applyFill="1" applyBorder="1" applyAlignment="1">
      <alignment horizontal="left" vertical="center" wrapText="1"/>
    </xf>
    <xf numFmtId="0" fontId="2" fillId="3" borderId="6" xfId="0" applyFont="1" applyFill="1" applyBorder="1" applyAlignment="1">
      <alignment horizontal="center" vertical="center" wrapText="1"/>
    </xf>
    <xf numFmtId="0" fontId="6" fillId="3" borderId="6" xfId="0" applyFont="1" applyFill="1" applyBorder="1" applyAlignment="1">
      <alignment horizontal="left" vertical="center" wrapText="1"/>
    </xf>
    <xf numFmtId="0" fontId="2" fillId="3" borderId="6" xfId="0" applyFont="1" applyFill="1" applyBorder="1" applyAlignment="1">
      <alignment horizontal="left" vertical="center" wrapText="1"/>
    </xf>
    <xf numFmtId="0" fontId="7" fillId="3" borderId="6" xfId="0" applyFont="1" applyFill="1" applyBorder="1" applyAlignment="1">
      <alignment horizontal="left" vertical="center" wrapText="1" indent="2"/>
    </xf>
    <xf numFmtId="0" fontId="7" fillId="3" borderId="6" xfId="0" applyFont="1" applyFill="1" applyBorder="1" applyAlignment="1">
      <alignment horizontal="left" vertical="center" indent="2"/>
    </xf>
    <xf numFmtId="0" fontId="1" fillId="2" borderId="6" xfId="1" applyBorder="1" applyAlignment="1">
      <alignment horizontal="center" vertical="center" wrapText="1"/>
    </xf>
    <xf numFmtId="0" fontId="4" fillId="4" borderId="6" xfId="3" applyBorder="1" applyAlignment="1">
      <alignment horizontal="center" vertical="center" wrapText="1"/>
    </xf>
    <xf numFmtId="0" fontId="4" fillId="4" borderId="6" xfId="3" applyBorder="1" applyAlignment="1">
      <alignment horizontal="center" vertical="center"/>
    </xf>
    <xf numFmtId="0" fontId="3" fillId="4" borderId="6" xfId="2" applyBorder="1" applyAlignment="1">
      <alignment horizontal="center" vertical="center"/>
    </xf>
    <xf numFmtId="9" fontId="1" fillId="2" borderId="6" xfId="1" applyNumberFormat="1" applyBorder="1" applyAlignment="1">
      <alignment horizontal="center" wrapText="1"/>
    </xf>
    <xf numFmtId="10" fontId="1" fillId="2" borderId="6" xfId="1" applyNumberFormat="1" applyBorder="1" applyAlignment="1">
      <alignment horizontal="center" wrapText="1"/>
    </xf>
    <xf numFmtId="0" fontId="2" fillId="3" borderId="1" xfId="0" applyFont="1" applyFill="1" applyBorder="1" applyAlignment="1">
      <alignment horizontal="center" vertical="center"/>
    </xf>
    <xf numFmtId="0" fontId="1" fillId="2" borderId="14" xfId="1" applyBorder="1" applyAlignment="1">
      <alignment horizontal="center"/>
    </xf>
    <xf numFmtId="0" fontId="4" fillId="4" borderId="13" xfId="3" applyBorder="1" applyAlignment="1">
      <alignment horizontal="center"/>
    </xf>
    <xf numFmtId="0" fontId="3" fillId="4" borderId="15" xfId="2" applyBorder="1" applyAlignment="1">
      <alignment horizontal="center"/>
    </xf>
    <xf numFmtId="0" fontId="7" fillId="0" borderId="0" xfId="0" applyFont="1"/>
    <xf numFmtId="0" fontId="6" fillId="0" borderId="0" xfId="0" applyFont="1" applyBorder="1" applyAlignment="1">
      <alignment horizontal="center" vertical="center"/>
    </xf>
    <xf numFmtId="0" fontId="2" fillId="3" borderId="6"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4" fillId="0" borderId="0" xfId="3" applyFill="1" applyBorder="1" applyAlignment="1">
      <alignment horizontal="center" vertical="center"/>
    </xf>
    <xf numFmtId="0" fontId="3" fillId="0" borderId="0" xfId="2"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left" vertical="center" wrapText="1"/>
    </xf>
    <xf numFmtId="0" fontId="0" fillId="3" borderId="8" xfId="0" applyFill="1" applyBorder="1" applyAlignment="1">
      <alignment horizontal="left" vertical="center" wrapText="1"/>
    </xf>
    <xf numFmtId="0" fontId="2" fillId="3" borderId="6"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0" fillId="0" borderId="0" xfId="0" applyFill="1"/>
    <xf numFmtId="0" fontId="2" fillId="3" borderId="6" xfId="0" applyFont="1" applyFill="1" applyBorder="1" applyAlignment="1">
      <alignment horizontal="center" vertical="center" wrapText="1"/>
    </xf>
    <xf numFmtId="0" fontId="0" fillId="3" borderId="8" xfId="0" applyFill="1" applyBorder="1" applyAlignment="1">
      <alignment vertical="center" wrapText="1"/>
    </xf>
    <xf numFmtId="0" fontId="4" fillId="4" borderId="6" xfId="3" quotePrefix="1" applyBorder="1" applyAlignment="1">
      <alignment horizontal="center" vertical="center"/>
    </xf>
    <xf numFmtId="49" fontId="7" fillId="3" borderId="6" xfId="0" applyNumberFormat="1" applyFont="1" applyFill="1" applyBorder="1" applyAlignment="1">
      <alignment horizontal="left" vertical="center" wrapText="1" indent="2"/>
    </xf>
    <xf numFmtId="49" fontId="7" fillId="3" borderId="6" xfId="0" applyNumberFormat="1" applyFont="1" applyFill="1" applyBorder="1" applyAlignment="1">
      <alignment horizontal="left" vertical="center" indent="2"/>
    </xf>
    <xf numFmtId="0" fontId="0" fillId="0" borderId="0" xfId="0" applyFill="1" applyBorder="1"/>
    <xf numFmtId="0" fontId="0" fillId="0" borderId="6" xfId="0" applyFill="1" applyBorder="1" applyAlignment="1">
      <alignment horizontal="center"/>
    </xf>
    <xf numFmtId="0" fontId="0" fillId="0" borderId="6" xfId="0" applyFill="1" applyBorder="1"/>
    <xf numFmtId="0" fontId="2" fillId="3" borderId="6"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1" fillId="2" borderId="6" xfId="1" applyFont="1" applyBorder="1" applyAlignment="1">
      <alignment horizontal="center" vertical="center" wrapText="1"/>
    </xf>
    <xf numFmtId="0" fontId="7" fillId="3" borderId="6" xfId="0" quotePrefix="1" applyFont="1" applyFill="1" applyBorder="1" applyAlignment="1">
      <alignment horizontal="left" vertical="center" wrapText="1" indent="2"/>
    </xf>
    <xf numFmtId="0" fontId="7" fillId="3" borderId="6" xfId="0" quotePrefix="1" applyFont="1" applyFill="1" applyBorder="1" applyAlignment="1">
      <alignment horizontal="left" vertical="center" indent="2"/>
    </xf>
    <xf numFmtId="0" fontId="0" fillId="0" borderId="5" xfId="0" quotePrefix="1" applyBorder="1"/>
    <xf numFmtId="0" fontId="0" fillId="0" borderId="19" xfId="0" applyBorder="1"/>
    <xf numFmtId="0" fontId="0" fillId="0" borderId="21" xfId="0" applyFill="1" applyBorder="1"/>
    <xf numFmtId="0" fontId="2" fillId="3" borderId="5" xfId="0" applyFont="1" applyFill="1" applyBorder="1" applyAlignment="1">
      <alignment horizontal="center"/>
    </xf>
    <xf numFmtId="0" fontId="2" fillId="3" borderId="6" xfId="0" applyFont="1" applyFill="1" applyBorder="1"/>
    <xf numFmtId="0" fontId="2" fillId="3" borderId="7" xfId="0" applyFont="1" applyFill="1" applyBorder="1"/>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2" fillId="3" borderId="6" xfId="0" applyFont="1" applyFill="1" applyBorder="1" applyAlignment="1">
      <alignment horizontal="center"/>
    </xf>
    <xf numFmtId="0" fontId="0" fillId="0" borderId="21" xfId="0" applyBorder="1" applyAlignment="1">
      <alignment horizontal="center"/>
    </xf>
    <xf numFmtId="0" fontId="7" fillId="3" borderId="11" xfId="0" applyFont="1" applyFill="1" applyBorder="1" applyAlignment="1">
      <alignment vertical="center" wrapText="1"/>
    </xf>
    <xf numFmtId="0" fontId="14" fillId="3" borderId="6" xfId="0" applyFont="1" applyFill="1" applyBorder="1" applyAlignment="1">
      <alignment horizontal="left" vertical="center" indent="2"/>
    </xf>
    <xf numFmtId="0" fontId="2" fillId="3" borderId="6" xfId="0" applyFont="1" applyFill="1" applyBorder="1" applyAlignment="1">
      <alignment horizontal="center" vertical="center" wrapText="1"/>
    </xf>
    <xf numFmtId="0" fontId="2" fillId="3" borderId="22" xfId="0" applyFont="1" applyFill="1" applyBorder="1" applyAlignment="1">
      <alignment horizontal="center"/>
    </xf>
    <xf numFmtId="0" fontId="2" fillId="3" borderId="16" xfId="0" applyFont="1" applyFill="1" applyBorder="1"/>
    <xf numFmtId="0" fontId="0" fillId="0" borderId="16" xfId="0" applyBorder="1"/>
    <xf numFmtId="43" fontId="0" fillId="0" borderId="16" xfId="4" applyFont="1" applyBorder="1"/>
    <xf numFmtId="0" fontId="0" fillId="0" borderId="23" xfId="0" applyBorder="1"/>
    <xf numFmtId="43" fontId="0" fillId="0" borderId="7" xfId="4" applyFont="1" applyBorder="1" applyAlignment="1">
      <alignment horizontal="left"/>
    </xf>
    <xf numFmtId="0" fontId="2" fillId="3" borderId="7" xfId="0" applyFont="1" applyFill="1" applyBorder="1" applyAlignment="1">
      <alignment horizontal="left"/>
    </xf>
    <xf numFmtId="43" fontId="0" fillId="0" borderId="20" xfId="4" applyFont="1" applyBorder="1" applyAlignment="1">
      <alignment horizontal="left"/>
    </xf>
    <xf numFmtId="0" fontId="0" fillId="0" borderId="5" xfId="0" quotePrefix="1" applyBorder="1" applyAlignment="1">
      <alignment wrapText="1"/>
    </xf>
    <xf numFmtId="0" fontId="16" fillId="0" borderId="0" xfId="0" applyFont="1"/>
    <xf numFmtId="0" fontId="7" fillId="6" borderId="5" xfId="0" quotePrefix="1" applyFont="1" applyFill="1" applyBorder="1" applyAlignment="1">
      <alignment horizontal="left" indent="8"/>
    </xf>
    <xf numFmtId="0" fontId="0" fillId="6" borderId="6" xfId="0" applyFill="1" applyBorder="1" applyAlignment="1">
      <alignment horizontal="center"/>
    </xf>
    <xf numFmtId="43" fontId="0" fillId="6" borderId="16" xfId="4" applyFont="1" applyFill="1" applyBorder="1"/>
    <xf numFmtId="43" fontId="0" fillId="6" borderId="7" xfId="4" applyFont="1" applyFill="1" applyBorder="1" applyAlignment="1">
      <alignment horizontal="left"/>
    </xf>
    <xf numFmtId="0" fontId="17" fillId="0" borderId="0" xfId="0" applyFont="1" applyFill="1"/>
    <xf numFmtId="0" fontId="17" fillId="0" borderId="0" xfId="0" applyFont="1" applyFill="1" applyAlignment="1">
      <alignment horizontal="center" wrapText="1"/>
    </xf>
    <xf numFmtId="0" fontId="17" fillId="0" borderId="0" xfId="0" applyFont="1" applyFill="1" applyAlignment="1">
      <alignment wrapText="1"/>
    </xf>
    <xf numFmtId="0" fontId="17" fillId="0" borderId="10"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0" xfId="0" applyFont="1" applyFill="1" applyAlignment="1">
      <alignment horizontal="center" vertical="center"/>
    </xf>
    <xf numFmtId="0" fontId="17" fillId="0" borderId="0" xfId="0" applyFont="1" applyFill="1" applyAlignment="1">
      <alignment horizontal="center"/>
    </xf>
    <xf numFmtId="0" fontId="17" fillId="0" borderId="0" xfId="0" applyFont="1"/>
    <xf numFmtId="0" fontId="0" fillId="0" borderId="0" xfId="0" applyAlignment="1">
      <alignment horizontal="center" vertical="center"/>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18" fillId="0" borderId="19" xfId="0" applyFont="1" applyBorder="1" applyAlignment="1">
      <alignment horizontal="center" vertical="center" wrapText="1"/>
    </xf>
    <xf numFmtId="0" fontId="0" fillId="0" borderId="21" xfId="0" applyBorder="1" applyAlignment="1">
      <alignment horizontal="center" vertical="center" wrapText="1"/>
    </xf>
    <xf numFmtId="0" fontId="0" fillId="0" borderId="20" xfId="0" applyBorder="1" applyAlignment="1">
      <alignment horizontal="center" vertical="center" wrapText="1"/>
    </xf>
    <xf numFmtId="0" fontId="2" fillId="3" borderId="7"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21" xfId="0" applyFont="1" applyBorder="1" applyAlignment="1">
      <alignment horizontal="center" vertical="center" wrapText="1"/>
    </xf>
    <xf numFmtId="0" fontId="2" fillId="3" borderId="6" xfId="0" applyFont="1" applyFill="1" applyBorder="1" applyAlignment="1">
      <alignment horizontal="center" vertical="center" wrapText="1"/>
    </xf>
    <xf numFmtId="0" fontId="18" fillId="0" borderId="5" xfId="0" applyFont="1" applyBorder="1" applyAlignment="1">
      <alignment horizontal="center" vertical="center" wrapText="1"/>
    </xf>
    <xf numFmtId="0" fontId="17" fillId="0" borderId="0" xfId="0" applyFont="1" applyAlignment="1">
      <alignment horizontal="center" wrapText="1"/>
    </xf>
    <xf numFmtId="0" fontId="17" fillId="0" borderId="0" xfId="0" applyFont="1" applyAlignment="1">
      <alignment wrapText="1"/>
    </xf>
    <xf numFmtId="0" fontId="5" fillId="3" borderId="1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17" fillId="0" borderId="0" xfId="0" applyFont="1" applyFill="1" applyBorder="1" applyAlignment="1">
      <alignment horizontal="center" wrapText="1"/>
    </xf>
    <xf numFmtId="0" fontId="5" fillId="0" borderId="0"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0" fillId="0" borderId="0" xfId="0" applyAlignment="1">
      <alignment horizontal="center" vertical="center" wrapText="1"/>
    </xf>
    <xf numFmtId="0" fontId="5" fillId="5" borderId="0" xfId="0" applyFont="1" applyFill="1" applyAlignment="1">
      <alignment horizontal="center" vertical="center" wrapText="1"/>
    </xf>
    <xf numFmtId="0" fontId="5" fillId="5" borderId="0" xfId="0" applyFont="1" applyFill="1" applyBorder="1" applyAlignment="1">
      <alignment horizontal="center" vertical="center" wrapText="1"/>
    </xf>
    <xf numFmtId="0" fontId="5" fillId="5" borderId="0" xfId="0" applyFont="1" applyFill="1" applyAlignment="1">
      <alignment horizontal="center" vertical="center"/>
    </xf>
    <xf numFmtId="0" fontId="5" fillId="5" borderId="0" xfId="0" applyFont="1" applyFill="1" applyBorder="1" applyAlignment="1">
      <alignment horizontal="center" vertical="center"/>
    </xf>
    <xf numFmtId="0" fontId="5" fillId="0" borderId="0" xfId="0" applyFont="1" applyFill="1" applyBorder="1" applyAlignment="1">
      <alignment horizontal="center" vertical="center"/>
    </xf>
    <xf numFmtId="0" fontId="17" fillId="0" borderId="0" xfId="0" applyFont="1" applyFill="1" applyBorder="1" applyAlignment="1">
      <alignment horizontal="center" vertical="center" wrapText="1"/>
    </xf>
    <xf numFmtId="0" fontId="4" fillId="7" borderId="6" xfId="3" applyFill="1" applyBorder="1" applyAlignment="1">
      <alignment horizontal="center"/>
    </xf>
    <xf numFmtId="0" fontId="0" fillId="8" borderId="6" xfId="0" applyFill="1" applyBorder="1" applyAlignment="1">
      <alignment horizontal="center" vertical="center" wrapText="1"/>
    </xf>
    <xf numFmtId="0" fontId="20" fillId="3" borderId="6"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6" fillId="0" borderId="24" xfId="0" applyFont="1" applyBorder="1" applyAlignment="1">
      <alignment horizontal="center"/>
    </xf>
    <xf numFmtId="0" fontId="6" fillId="0" borderId="17" xfId="0" applyFont="1" applyBorder="1" applyAlignment="1">
      <alignment horizontal="center"/>
    </xf>
    <xf numFmtId="0" fontId="6" fillId="0" borderId="25" xfId="0" applyFont="1" applyBorder="1" applyAlignment="1">
      <alignment horizontal="center"/>
    </xf>
    <xf numFmtId="0" fontId="0" fillId="3" borderId="8" xfId="0" applyFill="1" applyBorder="1" applyAlignment="1">
      <alignment horizontal="center" vertical="center" wrapText="1"/>
    </xf>
    <xf numFmtId="0" fontId="0" fillId="3" borderId="11" xfId="0" applyFill="1" applyBorder="1" applyAlignment="1">
      <alignment horizontal="center" vertical="center" wrapText="1"/>
    </xf>
    <xf numFmtId="0" fontId="2" fillId="3" borderId="6"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16" xfId="0" applyFont="1" applyFill="1" applyBorder="1" applyAlignment="1">
      <alignment horizontal="center"/>
    </xf>
    <xf numFmtId="0" fontId="2" fillId="3" borderId="17" xfId="0" applyFont="1" applyFill="1" applyBorder="1" applyAlignment="1">
      <alignment horizontal="center"/>
    </xf>
    <xf numFmtId="0" fontId="2" fillId="3" borderId="18" xfId="0" applyFont="1" applyFill="1" applyBorder="1" applyAlignment="1">
      <alignment horizontal="center"/>
    </xf>
    <xf numFmtId="0" fontId="6" fillId="0" borderId="1" xfId="0" applyFont="1" applyBorder="1" applyAlignment="1">
      <alignment horizontal="center" vertical="center"/>
    </xf>
    <xf numFmtId="0" fontId="5" fillId="5" borderId="0" xfId="0" applyFont="1" applyFill="1" applyAlignment="1">
      <alignment horizontal="center" vertical="center" wrapText="1"/>
    </xf>
    <xf numFmtId="0" fontId="4" fillId="4" borderId="12" xfId="3" applyBorder="1" applyAlignment="1">
      <alignment horizontal="center" vertical="center"/>
    </xf>
    <xf numFmtId="0" fontId="4" fillId="4" borderId="13" xfId="3" applyBorder="1" applyAlignment="1">
      <alignment horizontal="center" vertical="center"/>
    </xf>
    <xf numFmtId="0" fontId="4" fillId="4" borderId="14" xfId="3" applyBorder="1" applyAlignment="1">
      <alignment horizontal="center" vertical="center"/>
    </xf>
    <xf numFmtId="0" fontId="3" fillId="4" borderId="12" xfId="2" applyBorder="1" applyAlignment="1">
      <alignment horizontal="center" vertical="center"/>
    </xf>
    <xf numFmtId="0" fontId="3" fillId="4" borderId="13" xfId="2" applyBorder="1" applyAlignment="1">
      <alignment horizontal="center" vertical="center"/>
    </xf>
    <xf numFmtId="0" fontId="3" fillId="4" borderId="14" xfId="2" applyBorder="1" applyAlignment="1">
      <alignment horizontal="center" vertical="center"/>
    </xf>
    <xf numFmtId="0" fontId="0" fillId="3" borderId="8" xfId="0" applyFill="1" applyBorder="1" applyAlignment="1">
      <alignment horizontal="left" vertical="center" wrapText="1"/>
    </xf>
    <xf numFmtId="0" fontId="0" fillId="3" borderId="11" xfId="0" applyFill="1" applyBorder="1" applyAlignment="1">
      <alignment horizontal="left" vertical="center" wrapText="1"/>
    </xf>
    <xf numFmtId="0" fontId="2" fillId="3" borderId="8"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4" fillId="4" borderId="16" xfId="3" applyBorder="1" applyAlignment="1">
      <alignment horizontal="center"/>
    </xf>
    <xf numFmtId="0" fontId="4" fillId="4" borderId="18" xfId="3" applyBorder="1" applyAlignment="1">
      <alignment horizontal="center"/>
    </xf>
    <xf numFmtId="0" fontId="4" fillId="4" borderId="16" xfId="3" applyBorder="1" applyAlignment="1">
      <alignment horizontal="center" vertical="center" wrapText="1"/>
    </xf>
    <xf numFmtId="0" fontId="4" fillId="4" borderId="18" xfId="3" applyBorder="1" applyAlignment="1">
      <alignment horizontal="center" vertical="center" wrapText="1"/>
    </xf>
    <xf numFmtId="0" fontId="4" fillId="4" borderId="16" xfId="3" applyBorder="1" applyAlignment="1">
      <alignment horizontal="center" vertical="center"/>
    </xf>
    <xf numFmtId="0" fontId="4" fillId="4" borderId="18" xfId="3" applyBorder="1" applyAlignment="1">
      <alignment horizontal="center" vertical="center"/>
    </xf>
    <xf numFmtId="0" fontId="5" fillId="5" borderId="0" xfId="0" applyFont="1" applyFill="1" applyAlignment="1">
      <alignment horizontal="center" vertical="center"/>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1" fillId="2" borderId="16" xfId="1" applyBorder="1" applyAlignment="1">
      <alignment horizontal="center" vertical="center" wrapText="1"/>
    </xf>
    <xf numFmtId="0" fontId="1" fillId="2" borderId="17" xfId="1" applyBorder="1" applyAlignment="1">
      <alignment horizontal="center" vertical="center" wrapText="1"/>
    </xf>
    <xf numFmtId="0" fontId="1" fillId="2" borderId="18" xfId="1" applyBorder="1" applyAlignment="1">
      <alignment horizontal="center" vertical="center" wrapText="1"/>
    </xf>
    <xf numFmtId="0" fontId="4" fillId="4" borderId="17" xfId="3" applyBorder="1" applyAlignment="1">
      <alignment horizontal="center" vertical="center"/>
    </xf>
    <xf numFmtId="0" fontId="1" fillId="2" borderId="1" xfId="1" applyAlignment="1">
      <alignment horizontal="center" vertical="center" wrapText="1"/>
    </xf>
    <xf numFmtId="0" fontId="10" fillId="3" borderId="6" xfId="0" applyFont="1" applyFill="1" applyBorder="1" applyAlignment="1">
      <alignment horizontal="center" vertical="center"/>
    </xf>
  </cellXfs>
  <cellStyles count="5">
    <cellStyle name="Cálculo" xfId="3" builtinId="22"/>
    <cellStyle name="Entrada" xfId="1" builtinId="20"/>
    <cellStyle name="Normal" xfId="0" builtinId="0"/>
    <cellStyle name="Saída" xfId="2" builtinId="21"/>
    <cellStyle name="Vírgula" xfId="4" builtinId="3"/>
  </cellStyles>
  <dxfs count="3">
    <dxf>
      <fill>
        <patternFill>
          <bgColor theme="5" tint="0.79998168889431442"/>
        </patternFill>
      </fill>
    </dxf>
    <dxf>
      <fill>
        <patternFill>
          <bgColor rgb="FFFFFF00"/>
        </patternFill>
      </fill>
    </dxf>
    <dxf>
      <fill>
        <patternFill>
          <bgColor theme="6" tint="0.79998168889431442"/>
        </patternFill>
      </fill>
    </dxf>
  </dxfs>
  <tableStyles count="0" defaultTableStyle="TableStyleMedium2" defaultPivotStyle="PivotStyleMedium9"/>
  <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47625</xdr:colOff>
      <xdr:row>3</xdr:row>
      <xdr:rowOff>168274</xdr:rowOff>
    </xdr:from>
    <xdr:to>
      <xdr:col>19</xdr:col>
      <xdr:colOff>444500</xdr:colOff>
      <xdr:row>58</xdr:row>
      <xdr:rowOff>178593</xdr:rowOff>
    </xdr:to>
    <xdr:sp macro="" textlink="">
      <xdr:nvSpPr>
        <xdr:cNvPr id="2" name="CaixaDeTexto 1"/>
        <xdr:cNvSpPr txBox="1"/>
      </xdr:nvSpPr>
      <xdr:spPr>
        <a:xfrm>
          <a:off x="47625" y="739774"/>
          <a:ext cx="11934031" cy="104878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chemeClr val="dk1"/>
              </a:solidFill>
              <a:effectLst/>
              <a:latin typeface="+mn-lt"/>
              <a:ea typeface="+mn-ea"/>
              <a:cs typeface="+mn-cs"/>
            </a:rPr>
            <a:t>Introdução </a:t>
          </a:r>
          <a:endParaRPr lang="pt-BR" sz="1200">
            <a:solidFill>
              <a:schemeClr val="dk1"/>
            </a:solidFill>
            <a:effectLst/>
            <a:latin typeface="+mn-lt"/>
            <a:ea typeface="+mn-ea"/>
            <a:cs typeface="+mn-cs"/>
          </a:endParaRPr>
        </a:p>
        <a:p>
          <a:endParaRPr lang="pt-BR" sz="1200">
            <a:solidFill>
              <a:schemeClr val="dk1"/>
            </a:solidFill>
            <a:effectLst/>
            <a:latin typeface="+mn-lt"/>
            <a:ea typeface="+mn-ea"/>
            <a:cs typeface="+mn-cs"/>
          </a:endParaRPr>
        </a:p>
        <a:p>
          <a:r>
            <a:rPr lang="pt-BR" sz="1200">
              <a:solidFill>
                <a:schemeClr val="dk1"/>
              </a:solidFill>
              <a:effectLst/>
              <a:latin typeface="+mn-lt"/>
              <a:ea typeface="+mn-ea"/>
              <a:cs typeface="+mn-cs"/>
            </a:rPr>
            <a:t>O objetivo da presente planilha é a realização de uma </a:t>
          </a:r>
          <a:r>
            <a:rPr lang="pt-BR" sz="1200" b="1">
              <a:solidFill>
                <a:schemeClr val="dk1"/>
              </a:solidFill>
              <a:effectLst/>
              <a:latin typeface="+mn-lt"/>
              <a:ea typeface="+mn-ea"/>
              <a:cs typeface="+mn-cs"/>
            </a:rPr>
            <a:t>autoavaliação</a:t>
          </a:r>
          <a:r>
            <a:rPr lang="pt-BR" sz="1200">
              <a:solidFill>
                <a:schemeClr val="dk1"/>
              </a:solidFill>
              <a:effectLst/>
              <a:latin typeface="+mn-lt"/>
              <a:ea typeface="+mn-ea"/>
              <a:cs typeface="+mn-cs"/>
            </a:rPr>
            <a:t> em termos de melhores práticas de gestão de informação, que consiste numa série de perguntas para diversos processos essenciais dentro de um prestador de serviço de abastecimento de água e esgotamento sanitário. </a:t>
          </a:r>
        </a:p>
        <a:p>
          <a:endParaRPr lang="pt-BR" sz="1200">
            <a:solidFill>
              <a:schemeClr val="dk1"/>
            </a:solidFill>
            <a:effectLst/>
            <a:latin typeface="+mn-lt"/>
            <a:ea typeface="+mn-ea"/>
            <a:cs typeface="+mn-cs"/>
          </a:endParaRPr>
        </a:p>
        <a:p>
          <a:r>
            <a:rPr lang="pt-BR" sz="1200">
              <a:solidFill>
                <a:schemeClr val="dk1"/>
              </a:solidFill>
              <a:effectLst/>
              <a:latin typeface="+mn-lt"/>
              <a:ea typeface="+mn-ea"/>
              <a:cs typeface="+mn-cs"/>
            </a:rPr>
            <a:t>O questionário reflete o encadeamento preconizado </a:t>
          </a:r>
          <a:r>
            <a:rPr lang="pt-BR" sz="1200" b="1">
              <a:solidFill>
                <a:schemeClr val="dk1"/>
              </a:solidFill>
              <a:effectLst/>
              <a:latin typeface="+mn-lt"/>
              <a:ea typeface="+mn-ea"/>
              <a:cs typeface="+mn-cs"/>
            </a:rPr>
            <a:t>Guia de Melhores Práticas de Gestão de informação sobre Saneamento</a:t>
          </a:r>
          <a:r>
            <a:rPr lang="pt-BR" sz="1200">
              <a:solidFill>
                <a:schemeClr val="dk1"/>
              </a:solidFill>
              <a:effectLst/>
              <a:latin typeface="+mn-lt"/>
              <a:ea typeface="+mn-ea"/>
              <a:cs typeface="+mn-cs"/>
            </a:rPr>
            <a:t>, seguindo a metodologia ACERTAR desenvolvida nos anos 2017 e 2018 no âmbito do Programa INTERÁGUAS, uma cooperação entre a ABAR, Ministério das Cidades e Banco Mundial. </a:t>
          </a:r>
        </a:p>
        <a:p>
          <a:endParaRPr lang="pt-BR" sz="1200">
            <a:solidFill>
              <a:schemeClr val="dk1"/>
            </a:solidFill>
            <a:effectLst/>
            <a:latin typeface="+mn-lt"/>
            <a:ea typeface="+mn-ea"/>
            <a:cs typeface="+mn-cs"/>
          </a:endParaRPr>
        </a:p>
        <a:p>
          <a:r>
            <a:rPr lang="pt-BR" sz="1200">
              <a:solidFill>
                <a:schemeClr val="dk1"/>
              </a:solidFill>
              <a:effectLst/>
              <a:latin typeface="+mn-lt"/>
              <a:ea typeface="+mn-ea"/>
              <a:cs typeface="+mn-cs"/>
            </a:rPr>
            <a:t>O Guia está disponível em: </a:t>
          </a:r>
        </a:p>
        <a:p>
          <a:r>
            <a:rPr lang="pt-BR" sz="1200" b="1" u="sng">
              <a:solidFill>
                <a:schemeClr val="dk1"/>
              </a:solidFill>
              <a:effectLst/>
              <a:latin typeface="+mn-lt"/>
              <a:ea typeface="+mn-ea"/>
              <a:cs typeface="+mn-cs"/>
              <a:hlinkClick xmlns:r="http://schemas.openxmlformats.org/officeDocument/2006/relationships" r:id=""/>
            </a:rPr>
            <a:t>http://www.snis.gov.br/component/content/article?id=160</a:t>
          </a:r>
          <a:endParaRPr lang="pt-BR" sz="1200">
            <a:solidFill>
              <a:schemeClr val="dk1"/>
            </a:solidFill>
            <a:effectLst/>
            <a:latin typeface="+mn-lt"/>
            <a:ea typeface="+mn-ea"/>
            <a:cs typeface="+mn-cs"/>
          </a:endParaRPr>
        </a:p>
        <a:p>
          <a:r>
            <a:rPr lang="pt-BR" sz="1200" b="1" u="sng">
              <a:solidFill>
                <a:schemeClr val="dk1"/>
              </a:solidFill>
              <a:effectLst/>
              <a:latin typeface="+mn-lt"/>
              <a:ea typeface="+mn-ea"/>
              <a:cs typeface="+mn-cs"/>
              <a:hlinkClick xmlns:r="http://schemas.openxmlformats.org/officeDocument/2006/relationships" r:id=""/>
            </a:rPr>
            <a:t>http://abar.org.br/wp-content/uploads/2017/12/4.MelhoresPraticas_Prestadores-1.pdf</a:t>
          </a:r>
          <a:endParaRPr lang="pt-BR" sz="1200">
            <a:solidFill>
              <a:schemeClr val="dk1"/>
            </a:solidFill>
            <a:effectLst/>
            <a:latin typeface="+mn-lt"/>
            <a:ea typeface="+mn-ea"/>
            <a:cs typeface="+mn-cs"/>
          </a:endParaRPr>
        </a:p>
        <a:p>
          <a:endParaRPr lang="pt-BR" sz="1200">
            <a:solidFill>
              <a:schemeClr val="dk1"/>
            </a:solidFill>
            <a:effectLst/>
            <a:latin typeface="+mn-lt"/>
            <a:ea typeface="+mn-ea"/>
            <a:cs typeface="+mn-cs"/>
          </a:endParaRPr>
        </a:p>
        <a:p>
          <a:r>
            <a:rPr lang="pt-BR" sz="1200">
              <a:solidFill>
                <a:schemeClr val="dk1"/>
              </a:solidFill>
              <a:effectLst/>
              <a:latin typeface="+mn-lt"/>
              <a:ea typeface="+mn-ea"/>
              <a:cs typeface="+mn-cs"/>
            </a:rPr>
            <a:t>As respostas de cada bloco do questionário retornam ao utilizador o nível e confiança esperado da informação, podendo ser nível 1, 2 ou 3. Estes níveis esperados não têm na totalidade uma correspondência com o nível de confiança atribuído em uma auditoria ACERTAR. Para conhecer a confiança de cada informação se recomenda consultar o </a:t>
          </a:r>
          <a:r>
            <a:rPr lang="pt-BR" sz="1200" b="1">
              <a:solidFill>
                <a:schemeClr val="dk1"/>
              </a:solidFill>
              <a:effectLst/>
              <a:latin typeface="+mn-lt"/>
              <a:ea typeface="+mn-ea"/>
              <a:cs typeface="+mn-cs"/>
            </a:rPr>
            <a:t>Guia de Auditoria e Certificação das Informações do SNIS</a:t>
          </a:r>
          <a:r>
            <a:rPr lang="pt-BR" sz="1200">
              <a:solidFill>
                <a:schemeClr val="dk1"/>
              </a:solidFill>
              <a:effectLst/>
              <a:latin typeface="+mn-lt"/>
              <a:ea typeface="+mn-ea"/>
              <a:cs typeface="+mn-cs"/>
            </a:rPr>
            <a:t> e realizar a autoavaliação, ou uma auditoria interna guiando-se por esse documento, que também está disponível nos links acima referidos.</a:t>
          </a:r>
        </a:p>
        <a:p>
          <a:r>
            <a:rPr lang="pt-BR" sz="1200">
              <a:solidFill>
                <a:schemeClr val="dk1"/>
              </a:solidFill>
              <a:effectLst/>
              <a:latin typeface="+mn-lt"/>
              <a:ea typeface="+mn-ea"/>
              <a:cs typeface="+mn-cs"/>
            </a:rPr>
            <a:t> </a:t>
          </a:r>
        </a:p>
        <a:p>
          <a:r>
            <a:rPr lang="pt-BR" sz="1200">
              <a:solidFill>
                <a:schemeClr val="dk1"/>
              </a:solidFill>
              <a:effectLst/>
              <a:latin typeface="+mn-lt"/>
              <a:ea typeface="+mn-ea"/>
              <a:cs typeface="+mn-cs"/>
            </a:rPr>
            <a:t>A planilha pretende assim, ser uma ferramenta de sensibilização e de tomada de conhecimento perante as práticas correntes dos prestadores de serviço e o que se considera uma gestão de informação melhorada, assim como indicar ações para aumentar o nível de confiança. </a:t>
          </a:r>
        </a:p>
        <a:p>
          <a:endParaRPr lang="pt-BR" sz="1200">
            <a:solidFill>
              <a:schemeClr val="dk1"/>
            </a:solidFill>
            <a:effectLst/>
            <a:latin typeface="+mn-lt"/>
            <a:ea typeface="+mn-ea"/>
            <a:cs typeface="+mn-cs"/>
          </a:endParaRPr>
        </a:p>
        <a:p>
          <a:r>
            <a:rPr lang="pt-BR" sz="1200">
              <a:solidFill>
                <a:schemeClr val="dk1"/>
              </a:solidFill>
              <a:effectLst/>
              <a:latin typeface="+mn-lt"/>
              <a:ea typeface="+mn-ea"/>
              <a:cs typeface="+mn-cs"/>
            </a:rPr>
            <a:t>Cada aba se refere à informação de gestão em: </a:t>
          </a:r>
        </a:p>
        <a:p>
          <a:endParaRPr lang="pt-BR" sz="1200">
            <a:solidFill>
              <a:schemeClr val="dk1"/>
            </a:solidFill>
            <a:effectLst/>
            <a:latin typeface="+mn-lt"/>
            <a:ea typeface="+mn-ea"/>
            <a:cs typeface="+mn-cs"/>
          </a:endParaRPr>
        </a:p>
        <a:p>
          <a:pPr lvl="1"/>
          <a:r>
            <a:rPr lang="pt-BR" sz="1200">
              <a:solidFill>
                <a:schemeClr val="dk1"/>
              </a:solidFill>
              <a:effectLst/>
              <a:latin typeface="+mn-lt"/>
              <a:ea typeface="+mn-ea"/>
              <a:cs typeface="+mn-cs"/>
            </a:rPr>
            <a:t>*</a:t>
          </a:r>
          <a:r>
            <a:rPr lang="pt-BR" sz="1200" baseline="0">
              <a:solidFill>
                <a:schemeClr val="dk1"/>
              </a:solidFill>
              <a:effectLst/>
              <a:latin typeface="+mn-lt"/>
              <a:ea typeface="+mn-ea"/>
              <a:cs typeface="+mn-cs"/>
            </a:rPr>
            <a:t> </a:t>
          </a:r>
          <a:r>
            <a:rPr lang="pt-BR" sz="1200">
              <a:solidFill>
                <a:schemeClr val="dk1"/>
              </a:solidFill>
              <a:effectLst/>
              <a:latin typeface="+mn-lt"/>
              <a:ea typeface="+mn-ea"/>
              <a:cs typeface="+mn-cs"/>
            </a:rPr>
            <a:t>Comercial</a:t>
          </a:r>
        </a:p>
        <a:p>
          <a:pPr lvl="1"/>
          <a:r>
            <a:rPr lang="pt-BR" sz="1200">
              <a:solidFill>
                <a:schemeClr val="dk1"/>
              </a:solidFill>
              <a:effectLst/>
              <a:latin typeface="+mn-lt"/>
              <a:ea typeface="+mn-ea"/>
              <a:cs typeface="+mn-cs"/>
            </a:rPr>
            <a:t>* Financeira  </a:t>
          </a:r>
        </a:p>
        <a:p>
          <a:pPr lvl="1"/>
          <a:r>
            <a:rPr lang="pt-BR" sz="1200">
              <a:solidFill>
                <a:schemeClr val="dk1"/>
              </a:solidFill>
              <a:effectLst/>
              <a:latin typeface="+mn-lt"/>
              <a:ea typeface="+mn-ea"/>
              <a:cs typeface="+mn-cs"/>
            </a:rPr>
            <a:t>* Recursos Humanos </a:t>
          </a:r>
        </a:p>
        <a:p>
          <a:pPr lvl="1"/>
          <a:r>
            <a:rPr lang="pt-BR" sz="1200">
              <a:solidFill>
                <a:schemeClr val="dk1"/>
              </a:solidFill>
              <a:effectLst/>
              <a:latin typeface="+mn-lt"/>
              <a:ea typeface="+mn-ea"/>
              <a:cs typeface="+mn-cs"/>
            </a:rPr>
            <a:t>*Suprimentos, Compras e Contratos </a:t>
          </a:r>
        </a:p>
        <a:p>
          <a:pPr lvl="1"/>
          <a:r>
            <a:rPr lang="pt-BR" sz="1200">
              <a:solidFill>
                <a:schemeClr val="dk1"/>
              </a:solidFill>
              <a:effectLst/>
              <a:latin typeface="+mn-lt"/>
              <a:ea typeface="+mn-ea"/>
              <a:cs typeface="+mn-cs"/>
            </a:rPr>
            <a:t>* Tributária </a:t>
          </a:r>
        </a:p>
        <a:p>
          <a:pPr lvl="1"/>
          <a:r>
            <a:rPr lang="pt-BR" sz="1200">
              <a:solidFill>
                <a:schemeClr val="dk1"/>
              </a:solidFill>
              <a:effectLst/>
              <a:latin typeface="+mn-lt"/>
              <a:ea typeface="+mn-ea"/>
              <a:cs typeface="+mn-cs"/>
            </a:rPr>
            <a:t>*</a:t>
          </a:r>
          <a:r>
            <a:rPr lang="pt-BR" sz="1200" baseline="0">
              <a:solidFill>
                <a:schemeClr val="dk1"/>
              </a:solidFill>
              <a:effectLst/>
              <a:latin typeface="+mn-lt"/>
              <a:ea typeface="+mn-ea"/>
              <a:cs typeface="+mn-cs"/>
            </a:rPr>
            <a:t> </a:t>
          </a:r>
          <a:r>
            <a:rPr lang="pt-BR" sz="1200">
              <a:solidFill>
                <a:schemeClr val="dk1"/>
              </a:solidFill>
              <a:effectLst/>
              <a:latin typeface="+mn-lt"/>
              <a:ea typeface="+mn-ea"/>
              <a:cs typeface="+mn-cs"/>
            </a:rPr>
            <a:t>Ativos e Investimentos </a:t>
          </a:r>
        </a:p>
        <a:p>
          <a:pPr lvl="1"/>
          <a:r>
            <a:rPr lang="pt-BR" sz="1200">
              <a:solidFill>
                <a:schemeClr val="dk1"/>
              </a:solidFill>
              <a:effectLst/>
              <a:latin typeface="+mn-lt"/>
              <a:ea typeface="+mn-ea"/>
              <a:cs typeface="+mn-cs"/>
            </a:rPr>
            <a:t>* Contábil </a:t>
          </a:r>
        </a:p>
        <a:p>
          <a:pPr lvl="1"/>
          <a:r>
            <a:rPr lang="pt-BR" sz="1200">
              <a:solidFill>
                <a:schemeClr val="dk1"/>
              </a:solidFill>
              <a:effectLst/>
              <a:latin typeface="+mn-lt"/>
              <a:ea typeface="+mn-ea"/>
              <a:cs typeface="+mn-cs"/>
            </a:rPr>
            <a:t>* Monitoramento dos índices de atendimento </a:t>
          </a:r>
        </a:p>
        <a:p>
          <a:pPr lvl="1"/>
          <a:r>
            <a:rPr lang="pt-BR" sz="1200">
              <a:solidFill>
                <a:schemeClr val="dk1"/>
              </a:solidFill>
              <a:effectLst/>
              <a:latin typeface="+mn-lt"/>
              <a:ea typeface="+mn-ea"/>
              <a:cs typeface="+mn-cs"/>
            </a:rPr>
            <a:t>* Manutenção do Cadastros de Redes </a:t>
          </a:r>
        </a:p>
        <a:p>
          <a:pPr lvl="1"/>
          <a:r>
            <a:rPr lang="pt-BR" sz="1200">
              <a:solidFill>
                <a:schemeClr val="dk1"/>
              </a:solidFill>
              <a:effectLst/>
              <a:latin typeface="+mn-lt"/>
              <a:ea typeface="+mn-ea"/>
              <a:cs typeface="+mn-cs"/>
            </a:rPr>
            <a:t>* Processo Operacional </a:t>
          </a:r>
        </a:p>
        <a:p>
          <a:pPr lvl="1"/>
          <a:r>
            <a:rPr lang="pt-BR" sz="1200">
              <a:solidFill>
                <a:schemeClr val="dk1"/>
              </a:solidFill>
              <a:effectLst/>
              <a:latin typeface="+mn-lt"/>
              <a:ea typeface="+mn-ea"/>
              <a:cs typeface="+mn-cs"/>
            </a:rPr>
            <a:t>* Monitoramento do Consumo Energético</a:t>
          </a:r>
        </a:p>
        <a:p>
          <a:pPr lvl="1"/>
          <a:r>
            <a:rPr lang="pt-BR" sz="1200">
              <a:solidFill>
                <a:schemeClr val="dk1"/>
              </a:solidFill>
              <a:effectLst/>
              <a:latin typeface="+mn-lt"/>
              <a:ea typeface="+mn-ea"/>
              <a:cs typeface="+mn-cs"/>
            </a:rPr>
            <a:t>* Manutenção da Rede de Esgoto </a:t>
          </a:r>
        </a:p>
        <a:p>
          <a:pPr lvl="1"/>
          <a:r>
            <a:rPr lang="pt-BR" sz="1200">
              <a:solidFill>
                <a:schemeClr val="dk1"/>
              </a:solidFill>
              <a:effectLst/>
              <a:latin typeface="+mn-lt"/>
              <a:ea typeface="+mn-ea"/>
              <a:cs typeface="+mn-cs"/>
            </a:rPr>
            <a:t>* Controle da Qualidade da Água </a:t>
          </a:r>
        </a:p>
        <a:p>
          <a:pPr lvl="1"/>
          <a:r>
            <a:rPr lang="pt-BR" sz="1200">
              <a:solidFill>
                <a:schemeClr val="dk1"/>
              </a:solidFill>
              <a:effectLst/>
              <a:latin typeface="+mn-lt"/>
              <a:ea typeface="+mn-ea"/>
              <a:cs typeface="+mn-cs"/>
            </a:rPr>
            <a:t>* Gestão de Tecnologia da Informação</a:t>
          </a:r>
        </a:p>
        <a:p>
          <a:r>
            <a:rPr lang="pt-BR" sz="1200">
              <a:solidFill>
                <a:schemeClr val="dk1"/>
              </a:solidFill>
              <a:effectLst/>
              <a:latin typeface="+mn-lt"/>
              <a:ea typeface="+mn-ea"/>
              <a:cs typeface="+mn-cs"/>
            </a:rPr>
            <a:t> </a:t>
          </a:r>
        </a:p>
        <a:p>
          <a:pPr fontAlgn="ctr"/>
          <a:r>
            <a:rPr lang="pt-BR" sz="1200">
              <a:solidFill>
                <a:schemeClr val="dk1"/>
              </a:solidFill>
              <a:effectLst/>
              <a:latin typeface="+mn-lt"/>
              <a:ea typeface="+mn-ea"/>
              <a:cs typeface="+mn-cs"/>
            </a:rPr>
            <a:t>Informações adicionais poderão ser obtidas no site:</a:t>
          </a:r>
          <a:r>
            <a:rPr lang="pt-BR" sz="1200" baseline="0">
              <a:solidFill>
                <a:schemeClr val="dk1"/>
              </a:solidFill>
              <a:effectLst/>
              <a:latin typeface="+mn-lt"/>
              <a:ea typeface="+mn-ea"/>
              <a:cs typeface="+mn-cs"/>
            </a:rPr>
            <a:t> </a:t>
          </a:r>
          <a:r>
            <a:rPr lang="pt-BR" sz="1200" b="0" i="0">
              <a:solidFill>
                <a:schemeClr val="dk1"/>
              </a:solidFill>
              <a:effectLst/>
              <a:latin typeface="+mn-lt"/>
              <a:ea typeface="+mn-ea"/>
              <a:cs typeface="+mn-cs"/>
            </a:rPr>
            <a:t>http://sites.google.com/view/</a:t>
          </a:r>
          <a:r>
            <a:rPr lang="pt-BR" sz="1200" b="1" i="0">
              <a:solidFill>
                <a:schemeClr val="dk1"/>
              </a:solidFill>
              <a:effectLst/>
              <a:latin typeface="+mn-lt"/>
              <a:ea typeface="+mn-ea"/>
              <a:cs typeface="+mn-cs"/>
            </a:rPr>
            <a:t>acertar  </a:t>
          </a:r>
        </a:p>
        <a:p>
          <a:endParaRPr lang="pt-BR" sz="1200">
            <a:solidFill>
              <a:schemeClr val="dk1"/>
            </a:solidFill>
            <a:effectLst/>
            <a:latin typeface="+mn-lt"/>
            <a:ea typeface="+mn-ea"/>
            <a:cs typeface="+mn-cs"/>
          </a:endParaRPr>
        </a:p>
        <a:p>
          <a:r>
            <a:rPr lang="pt-BR" sz="1200" b="1">
              <a:solidFill>
                <a:schemeClr val="dk1"/>
              </a:solidFill>
              <a:effectLst/>
              <a:latin typeface="+mn-lt"/>
              <a:ea typeface="+mn-ea"/>
              <a:cs typeface="+mn-cs"/>
            </a:rPr>
            <a:t>Versão:</a:t>
          </a:r>
          <a:r>
            <a:rPr lang="pt-BR" sz="1200">
              <a:solidFill>
                <a:schemeClr val="dk1"/>
              </a:solidFill>
              <a:effectLst/>
              <a:latin typeface="+mn-lt"/>
              <a:ea typeface="+mn-ea"/>
              <a:cs typeface="+mn-cs"/>
            </a:rPr>
            <a:t> 008</a:t>
          </a:r>
        </a:p>
        <a:p>
          <a:r>
            <a:rPr lang="pt-BR" sz="1200" b="1">
              <a:solidFill>
                <a:schemeClr val="dk1"/>
              </a:solidFill>
              <a:effectLst/>
              <a:latin typeface="+mn-lt"/>
              <a:ea typeface="+mn-ea"/>
              <a:cs typeface="+mn-cs"/>
            </a:rPr>
            <a:t>Data de primeira elaboração:</a:t>
          </a:r>
          <a:r>
            <a:rPr lang="pt-BR" sz="1200">
              <a:solidFill>
                <a:schemeClr val="dk1"/>
              </a:solidFill>
              <a:effectLst/>
              <a:latin typeface="+mn-lt"/>
              <a:ea typeface="+mn-ea"/>
              <a:cs typeface="+mn-cs"/>
            </a:rPr>
            <a:t> fevereiro de 2019</a:t>
          </a:r>
        </a:p>
        <a:p>
          <a:r>
            <a:rPr lang="pt-BR" sz="1200" b="1">
              <a:solidFill>
                <a:schemeClr val="dk1"/>
              </a:solidFill>
              <a:effectLst/>
              <a:latin typeface="+mn-lt"/>
              <a:ea typeface="+mn-ea"/>
              <a:cs typeface="+mn-cs"/>
            </a:rPr>
            <a:t>Data de revisão:</a:t>
          </a:r>
          <a:r>
            <a:rPr lang="pt-BR" sz="1200">
              <a:solidFill>
                <a:schemeClr val="dk1"/>
              </a:solidFill>
              <a:effectLst/>
              <a:latin typeface="+mn-lt"/>
              <a:ea typeface="+mn-ea"/>
              <a:cs typeface="+mn-cs"/>
            </a:rPr>
            <a:t> agosto de 2019</a:t>
          </a:r>
        </a:p>
        <a:p>
          <a:r>
            <a:rPr lang="pt-BR" sz="1200">
              <a:solidFill>
                <a:schemeClr val="dk1"/>
              </a:solidFill>
              <a:effectLst/>
              <a:latin typeface="+mn-lt"/>
              <a:ea typeface="+mn-ea"/>
              <a:cs typeface="+mn-cs"/>
            </a:rPr>
            <a:t> </a:t>
          </a:r>
        </a:p>
        <a:p>
          <a:r>
            <a:rPr lang="pt-BR" sz="1200" b="1">
              <a:solidFill>
                <a:schemeClr val="dk1"/>
              </a:solidFill>
              <a:effectLst/>
              <a:latin typeface="+mn-lt"/>
              <a:ea typeface="+mn-ea"/>
              <a:cs typeface="+mn-cs"/>
            </a:rPr>
            <a:t>Autores:</a:t>
          </a:r>
        </a:p>
        <a:p>
          <a:endParaRPr lang="pt-BR" sz="1200" b="1">
            <a:solidFill>
              <a:schemeClr val="dk1"/>
            </a:solidFill>
            <a:effectLst/>
            <a:latin typeface="+mn-lt"/>
            <a:ea typeface="+mn-ea"/>
            <a:cs typeface="+mn-cs"/>
          </a:endParaRPr>
        </a:p>
        <a:p>
          <a:r>
            <a:rPr lang="pt-BR" sz="1200">
              <a:solidFill>
                <a:schemeClr val="dk1"/>
              </a:solidFill>
              <a:effectLst/>
              <a:latin typeface="+mn-lt"/>
              <a:ea typeface="+mn-ea"/>
              <a:cs typeface="+mn-cs"/>
            </a:rPr>
            <a:t>* Samuel</a:t>
          </a:r>
          <a:r>
            <a:rPr lang="pt-BR" sz="1200" baseline="0">
              <a:solidFill>
                <a:schemeClr val="dk1"/>
              </a:solidFill>
              <a:effectLst/>
              <a:latin typeface="+mn-lt"/>
              <a:ea typeface="+mn-ea"/>
              <a:cs typeface="+mn-cs"/>
            </a:rPr>
            <a:t> Alves Barbi Costa - ARSAE-MG</a:t>
          </a:r>
        </a:p>
        <a:p>
          <a:r>
            <a:rPr lang="pt-BR" sz="1200" baseline="0">
              <a:solidFill>
                <a:schemeClr val="dk1"/>
              </a:solidFill>
              <a:effectLst/>
              <a:latin typeface="+mn-lt"/>
              <a:ea typeface="+mn-ea"/>
              <a:cs typeface="+mn-cs"/>
            </a:rPr>
            <a:t>* Alexandre Caetano - ARCE</a:t>
          </a:r>
        </a:p>
        <a:p>
          <a:r>
            <a:rPr lang="pt-BR" sz="1200" baseline="0">
              <a:solidFill>
                <a:schemeClr val="dk1"/>
              </a:solidFill>
              <a:effectLst/>
              <a:latin typeface="+mn-lt"/>
              <a:ea typeface="+mn-ea"/>
              <a:cs typeface="+mn-cs"/>
            </a:rPr>
            <a:t>* Rita Cavaleiro - ProEEsa / AKUT - GIZ</a:t>
          </a:r>
        </a:p>
        <a:p>
          <a:r>
            <a:rPr lang="pt-BR" sz="1200">
              <a:solidFill>
                <a:schemeClr val="dk1"/>
              </a:solidFill>
              <a:effectLst/>
              <a:latin typeface="+mn-lt"/>
              <a:ea typeface="+mn-ea"/>
              <a:cs typeface="+mn-cs"/>
            </a:rPr>
            <a:t>* Thiago - Tato</a:t>
          </a:r>
          <a:r>
            <a:rPr lang="pt-BR" sz="1200" baseline="0">
              <a:solidFill>
                <a:schemeClr val="dk1"/>
              </a:solidFill>
              <a:effectLst/>
              <a:latin typeface="+mn-lt"/>
              <a:ea typeface="+mn-ea"/>
              <a:cs typeface="+mn-cs"/>
            </a:rPr>
            <a:t> Consultoria</a:t>
          </a:r>
          <a:endParaRPr lang="pt-BR" sz="1200">
            <a:solidFill>
              <a:schemeClr val="dk1"/>
            </a:solidFill>
            <a:effectLst/>
            <a:latin typeface="+mn-lt"/>
            <a:ea typeface="+mn-ea"/>
            <a:cs typeface="+mn-cs"/>
          </a:endParaRPr>
        </a:p>
        <a:p>
          <a:r>
            <a:rPr lang="pt-BR" sz="1200">
              <a:solidFill>
                <a:schemeClr val="dk1"/>
              </a:solidFill>
              <a:effectLst/>
              <a:latin typeface="+mn-lt"/>
              <a:ea typeface="+mn-ea"/>
              <a:cs typeface="+mn-cs"/>
            </a:rPr>
            <a:t>* Alberto Camargo</a:t>
          </a:r>
          <a:r>
            <a:rPr lang="pt-BR" sz="1200" baseline="0">
              <a:solidFill>
                <a:schemeClr val="dk1"/>
              </a:solidFill>
              <a:effectLst/>
              <a:latin typeface="+mn-lt"/>
              <a:ea typeface="+mn-ea"/>
              <a:cs typeface="+mn-cs"/>
            </a:rPr>
            <a:t> </a:t>
          </a:r>
          <a:r>
            <a:rPr lang="pt-BR" sz="1200">
              <a:solidFill>
                <a:schemeClr val="dk1"/>
              </a:solidFill>
              <a:effectLst/>
              <a:latin typeface="+mn-lt"/>
              <a:ea typeface="+mn-ea"/>
              <a:cs typeface="+mn-cs"/>
            </a:rPr>
            <a:t>- Tato</a:t>
          </a:r>
          <a:r>
            <a:rPr lang="pt-BR" sz="1200" baseline="0">
              <a:solidFill>
                <a:schemeClr val="dk1"/>
              </a:solidFill>
              <a:effectLst/>
              <a:latin typeface="+mn-lt"/>
              <a:ea typeface="+mn-ea"/>
              <a:cs typeface="+mn-cs"/>
            </a:rPr>
            <a:t> Consultoria</a:t>
          </a:r>
        </a:p>
        <a:p>
          <a:r>
            <a:rPr lang="pt-BR" sz="1200" baseline="0">
              <a:solidFill>
                <a:schemeClr val="dk1"/>
              </a:solidFill>
              <a:effectLst/>
              <a:latin typeface="+mn-lt"/>
              <a:ea typeface="+mn-ea"/>
              <a:cs typeface="+mn-cs"/>
            </a:rPr>
            <a:t>* Jéssica Rocha Gama - ABAR</a:t>
          </a:r>
        </a:p>
        <a:p>
          <a:endParaRPr lang="pt-BR" sz="1200" baseline="0">
            <a:solidFill>
              <a:schemeClr val="dk1"/>
            </a:solidFill>
            <a:effectLst/>
            <a:latin typeface="+mn-lt"/>
            <a:ea typeface="+mn-ea"/>
            <a:cs typeface="+mn-cs"/>
          </a:endParaRPr>
        </a:p>
        <a:p>
          <a:r>
            <a:rPr lang="pt-BR" sz="1200" b="1" baseline="0">
              <a:solidFill>
                <a:schemeClr val="dk1"/>
              </a:solidFill>
              <a:effectLst/>
              <a:latin typeface="+mn-lt"/>
              <a:ea typeface="+mn-ea"/>
              <a:cs typeface="+mn-cs"/>
            </a:rPr>
            <a:t>Revisão mais recente:</a:t>
          </a:r>
        </a:p>
        <a:p>
          <a:r>
            <a:rPr lang="pt-BR" sz="1200" baseline="0">
              <a:solidFill>
                <a:schemeClr val="dk1"/>
              </a:solidFill>
              <a:effectLst/>
              <a:latin typeface="+mn-lt"/>
              <a:ea typeface="+mn-ea"/>
              <a:cs typeface="+mn-cs"/>
            </a:rPr>
            <a:t>* Gabriel Bertola - ARES-PCJ</a:t>
          </a:r>
          <a:endParaRPr lang="pt-BR" sz="1200">
            <a:solidFill>
              <a:schemeClr val="dk1"/>
            </a:solidFill>
            <a:effectLst/>
            <a:latin typeface="+mn-lt"/>
            <a:ea typeface="+mn-ea"/>
            <a:cs typeface="+mn-cs"/>
          </a:endParaRPr>
        </a:p>
        <a:p>
          <a:endParaRPr lang="pt-BR" sz="1200" b="1" i="1"/>
        </a:p>
        <a:p>
          <a:r>
            <a:rPr lang="pt-BR" sz="1200" b="1" i="1"/>
            <a:t>P.S: O presente documento foi construído de forma colaborativa e </a:t>
          </a:r>
          <a:r>
            <a:rPr lang="pt-BR" sz="1200" b="1" i="1" baseline="0"/>
            <a:t>voluntária pelos autores. </a:t>
          </a:r>
          <a:endParaRPr lang="pt-BR" sz="1200" b="1" i="1"/>
        </a:p>
      </xdr:txBody>
    </xdr:sp>
    <xdr:clientData/>
  </xdr:twoCellAnchor>
  <xdr:twoCellAnchor editAs="oneCell">
    <xdr:from>
      <xdr:col>20</xdr:col>
      <xdr:colOff>13396</xdr:colOff>
      <xdr:row>7</xdr:row>
      <xdr:rowOff>41275</xdr:rowOff>
    </xdr:from>
    <xdr:to>
      <xdr:col>26</xdr:col>
      <xdr:colOff>297763</xdr:colOff>
      <xdr:row>25</xdr:row>
      <xdr:rowOff>31750</xdr:rowOff>
    </xdr:to>
    <xdr:pic>
      <xdr:nvPicPr>
        <xdr:cNvPr id="4" name="Imagem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78396" y="1374775"/>
          <a:ext cx="3903867"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365125</xdr:colOff>
      <xdr:row>33</xdr:row>
      <xdr:rowOff>127000</xdr:rowOff>
    </xdr:from>
    <xdr:to>
      <xdr:col>25</xdr:col>
      <xdr:colOff>558588</xdr:colOff>
      <xdr:row>50</xdr:row>
      <xdr:rowOff>127000</xdr:rowOff>
    </xdr:to>
    <xdr:pic>
      <xdr:nvPicPr>
        <xdr:cNvPr id="5" name="Imagem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30125" y="6413500"/>
          <a:ext cx="3209713"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80</xdr:row>
      <xdr:rowOff>0</xdr:rowOff>
    </xdr:from>
    <xdr:to>
      <xdr:col>7</xdr:col>
      <xdr:colOff>302559</xdr:colOff>
      <xdr:row>170</xdr:row>
      <xdr:rowOff>161194</xdr:rowOff>
    </xdr:to>
    <xdr:grpSp>
      <xdr:nvGrpSpPr>
        <xdr:cNvPr id="5" name="Grupo 4"/>
        <xdr:cNvGrpSpPr/>
      </xdr:nvGrpSpPr>
      <xdr:grpSpPr>
        <a:xfrm>
          <a:off x="797719" y="40850344"/>
          <a:ext cx="9898996" cy="17306194"/>
          <a:chOff x="582706" y="31421294"/>
          <a:chExt cx="9715500" cy="17306194"/>
        </a:xfrm>
      </xdr:grpSpPr>
      <xdr:pic>
        <xdr:nvPicPr>
          <xdr:cNvPr id="2" name="Imagem 1"/>
          <xdr:cNvPicPr>
            <a:picLocks noChangeAspect="1"/>
          </xdr:cNvPicPr>
        </xdr:nvPicPr>
        <xdr:blipFill>
          <a:blip xmlns:r="http://schemas.openxmlformats.org/officeDocument/2006/relationships" r:embed="rId1"/>
          <a:stretch>
            <a:fillRect/>
          </a:stretch>
        </xdr:blipFill>
        <xdr:spPr>
          <a:xfrm>
            <a:off x="582706" y="31421294"/>
            <a:ext cx="9704762" cy="3476190"/>
          </a:xfrm>
          <a:prstGeom prst="rect">
            <a:avLst/>
          </a:prstGeom>
        </xdr:spPr>
      </xdr:pic>
      <xdr:pic>
        <xdr:nvPicPr>
          <xdr:cNvPr id="3" name="Imagem 2"/>
          <xdr:cNvPicPr>
            <a:picLocks noChangeAspect="1"/>
          </xdr:cNvPicPr>
        </xdr:nvPicPr>
        <xdr:blipFill>
          <a:blip xmlns:r="http://schemas.openxmlformats.org/officeDocument/2006/relationships" r:embed="rId2"/>
          <a:stretch>
            <a:fillRect/>
          </a:stretch>
        </xdr:blipFill>
        <xdr:spPr>
          <a:xfrm>
            <a:off x="649941" y="34850051"/>
            <a:ext cx="9648265" cy="12532063"/>
          </a:xfrm>
          <a:prstGeom prst="rect">
            <a:avLst/>
          </a:prstGeom>
        </xdr:spPr>
      </xdr:pic>
      <xdr:pic>
        <xdr:nvPicPr>
          <xdr:cNvPr id="4" name="Imagem 3"/>
          <xdr:cNvPicPr>
            <a:picLocks noChangeAspect="1"/>
          </xdr:cNvPicPr>
        </xdr:nvPicPr>
        <xdr:blipFill>
          <a:blip xmlns:r="http://schemas.openxmlformats.org/officeDocument/2006/relationships" r:embed="rId3"/>
          <a:stretch>
            <a:fillRect/>
          </a:stretch>
        </xdr:blipFill>
        <xdr:spPr>
          <a:xfrm>
            <a:off x="605118" y="47356059"/>
            <a:ext cx="9676190" cy="1371429"/>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31</xdr:row>
      <xdr:rowOff>0</xdr:rowOff>
    </xdr:from>
    <xdr:to>
      <xdr:col>7</xdr:col>
      <xdr:colOff>141668</xdr:colOff>
      <xdr:row>47</xdr:row>
      <xdr:rowOff>94857</xdr:rowOff>
    </xdr:to>
    <xdr:pic>
      <xdr:nvPicPr>
        <xdr:cNvPr id="2" name="Imagem 1"/>
        <xdr:cNvPicPr>
          <a:picLocks noChangeAspect="1"/>
        </xdr:cNvPicPr>
      </xdr:nvPicPr>
      <xdr:blipFill>
        <a:blip xmlns:r="http://schemas.openxmlformats.org/officeDocument/2006/relationships" r:embed="rId1"/>
        <a:stretch>
          <a:fillRect/>
        </a:stretch>
      </xdr:blipFill>
      <xdr:spPr>
        <a:xfrm>
          <a:off x="571500" y="14563725"/>
          <a:ext cx="9657143" cy="31428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32</xdr:row>
      <xdr:rowOff>0</xdr:rowOff>
    </xdr:from>
    <xdr:to>
      <xdr:col>7</xdr:col>
      <xdr:colOff>932238</xdr:colOff>
      <xdr:row>42</xdr:row>
      <xdr:rowOff>9286</xdr:rowOff>
    </xdr:to>
    <xdr:pic>
      <xdr:nvPicPr>
        <xdr:cNvPr id="2" name="Imagem 1"/>
        <xdr:cNvPicPr>
          <a:picLocks noChangeAspect="1"/>
        </xdr:cNvPicPr>
      </xdr:nvPicPr>
      <xdr:blipFill>
        <a:blip xmlns:r="http://schemas.openxmlformats.org/officeDocument/2006/relationships" r:embed="rId1"/>
        <a:stretch>
          <a:fillRect/>
        </a:stretch>
      </xdr:blipFill>
      <xdr:spPr>
        <a:xfrm>
          <a:off x="571500" y="13249275"/>
          <a:ext cx="9695238" cy="191428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438150</xdr:colOff>
      <xdr:row>41</xdr:row>
      <xdr:rowOff>0</xdr:rowOff>
    </xdr:from>
    <xdr:to>
      <xdr:col>4</xdr:col>
      <xdr:colOff>3990279</xdr:colOff>
      <xdr:row>55</xdr:row>
      <xdr:rowOff>57046</xdr:rowOff>
    </xdr:to>
    <xdr:grpSp>
      <xdr:nvGrpSpPr>
        <xdr:cNvPr id="4" name="Grupo 3"/>
        <xdr:cNvGrpSpPr/>
      </xdr:nvGrpSpPr>
      <xdr:grpSpPr>
        <a:xfrm>
          <a:off x="533400" y="21836063"/>
          <a:ext cx="6647754" cy="2724046"/>
          <a:chOff x="533400" y="19050000"/>
          <a:chExt cx="5609529" cy="2724046"/>
        </a:xfrm>
      </xdr:grpSpPr>
      <xdr:pic>
        <xdr:nvPicPr>
          <xdr:cNvPr id="2" name="Imagem 1"/>
          <xdr:cNvPicPr>
            <a:picLocks noChangeAspect="1"/>
          </xdr:cNvPicPr>
        </xdr:nvPicPr>
        <xdr:blipFill>
          <a:blip xmlns:r="http://schemas.openxmlformats.org/officeDocument/2006/relationships" r:embed="rId1"/>
          <a:stretch>
            <a:fillRect/>
          </a:stretch>
        </xdr:blipFill>
        <xdr:spPr>
          <a:xfrm>
            <a:off x="571500" y="19050000"/>
            <a:ext cx="5571429" cy="1942857"/>
          </a:xfrm>
          <a:prstGeom prst="rect">
            <a:avLst/>
          </a:prstGeom>
        </xdr:spPr>
      </xdr:pic>
      <xdr:pic>
        <xdr:nvPicPr>
          <xdr:cNvPr id="3" name="Imagem 2"/>
          <xdr:cNvPicPr>
            <a:picLocks noChangeAspect="1"/>
          </xdr:cNvPicPr>
        </xdr:nvPicPr>
        <xdr:blipFill>
          <a:blip xmlns:r="http://schemas.openxmlformats.org/officeDocument/2006/relationships" r:embed="rId2"/>
          <a:stretch>
            <a:fillRect/>
          </a:stretch>
        </xdr:blipFill>
        <xdr:spPr>
          <a:xfrm>
            <a:off x="533400" y="20945475"/>
            <a:ext cx="5552381" cy="828571"/>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33</xdr:row>
      <xdr:rowOff>152400</xdr:rowOff>
    </xdr:from>
    <xdr:to>
      <xdr:col>6</xdr:col>
      <xdr:colOff>1259246</xdr:colOff>
      <xdr:row>51</xdr:row>
      <xdr:rowOff>123400</xdr:rowOff>
    </xdr:to>
    <xdr:pic>
      <xdr:nvPicPr>
        <xdr:cNvPr id="2" name="Imagem 1"/>
        <xdr:cNvPicPr>
          <a:picLocks noChangeAspect="1"/>
        </xdr:cNvPicPr>
      </xdr:nvPicPr>
      <xdr:blipFill>
        <a:blip xmlns:r="http://schemas.openxmlformats.org/officeDocument/2006/relationships" r:embed="rId1"/>
        <a:stretch>
          <a:fillRect/>
        </a:stretch>
      </xdr:blipFill>
      <xdr:spPr>
        <a:xfrm>
          <a:off x="171450" y="9515475"/>
          <a:ext cx="9828571" cy="3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58</xdr:row>
      <xdr:rowOff>0</xdr:rowOff>
    </xdr:from>
    <xdr:to>
      <xdr:col>6</xdr:col>
      <xdr:colOff>160939</xdr:colOff>
      <xdr:row>76</xdr:row>
      <xdr:rowOff>38060</xdr:rowOff>
    </xdr:to>
    <xdr:grpSp>
      <xdr:nvGrpSpPr>
        <xdr:cNvPr id="4" name="Grupo 3"/>
        <xdr:cNvGrpSpPr/>
      </xdr:nvGrpSpPr>
      <xdr:grpSpPr>
        <a:xfrm>
          <a:off x="95250" y="24181594"/>
          <a:ext cx="8626283" cy="3467060"/>
          <a:chOff x="95250" y="17611725"/>
          <a:chExt cx="7885714" cy="3467060"/>
        </a:xfrm>
      </xdr:grpSpPr>
      <xdr:pic>
        <xdr:nvPicPr>
          <xdr:cNvPr id="2" name="Imagem 1"/>
          <xdr:cNvPicPr>
            <a:picLocks noChangeAspect="1"/>
          </xdr:cNvPicPr>
        </xdr:nvPicPr>
        <xdr:blipFill>
          <a:blip xmlns:r="http://schemas.openxmlformats.org/officeDocument/2006/relationships" r:embed="rId1"/>
          <a:stretch>
            <a:fillRect/>
          </a:stretch>
        </xdr:blipFill>
        <xdr:spPr>
          <a:xfrm>
            <a:off x="95250" y="17611725"/>
            <a:ext cx="7885714" cy="3161905"/>
          </a:xfrm>
          <a:prstGeom prst="rect">
            <a:avLst/>
          </a:prstGeom>
        </xdr:spPr>
      </xdr:pic>
      <xdr:pic>
        <xdr:nvPicPr>
          <xdr:cNvPr id="3" name="Imagem 2"/>
          <xdr:cNvPicPr>
            <a:picLocks noChangeAspect="1"/>
          </xdr:cNvPicPr>
        </xdr:nvPicPr>
        <xdr:blipFill>
          <a:blip xmlns:r="http://schemas.openxmlformats.org/officeDocument/2006/relationships" r:embed="rId2"/>
          <a:stretch>
            <a:fillRect/>
          </a:stretch>
        </xdr:blipFill>
        <xdr:spPr>
          <a:xfrm>
            <a:off x="200025" y="20754975"/>
            <a:ext cx="7742857" cy="32381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71</xdr:row>
      <xdr:rowOff>0</xdr:rowOff>
    </xdr:from>
    <xdr:to>
      <xdr:col>4</xdr:col>
      <xdr:colOff>3390200</xdr:colOff>
      <xdr:row>171</xdr:row>
      <xdr:rowOff>56529</xdr:rowOff>
    </xdr:to>
    <xdr:grpSp>
      <xdr:nvGrpSpPr>
        <xdr:cNvPr id="5" name="Grupo 4"/>
        <xdr:cNvGrpSpPr/>
      </xdr:nvGrpSpPr>
      <xdr:grpSpPr>
        <a:xfrm>
          <a:off x="57150" y="27658219"/>
          <a:ext cx="6226269" cy="19106529"/>
          <a:chOff x="57150" y="23145750"/>
          <a:chExt cx="5647625" cy="19106529"/>
        </a:xfrm>
      </xdr:grpSpPr>
      <xdr:pic>
        <xdr:nvPicPr>
          <xdr:cNvPr id="2" name="Imagem 1"/>
          <xdr:cNvPicPr>
            <a:picLocks noChangeAspect="1"/>
          </xdr:cNvPicPr>
        </xdr:nvPicPr>
        <xdr:blipFill>
          <a:blip xmlns:r="http://schemas.openxmlformats.org/officeDocument/2006/relationships" r:embed="rId1"/>
          <a:stretch>
            <a:fillRect/>
          </a:stretch>
        </xdr:blipFill>
        <xdr:spPr>
          <a:xfrm>
            <a:off x="95250" y="23145750"/>
            <a:ext cx="5590476" cy="7019048"/>
          </a:xfrm>
          <a:prstGeom prst="rect">
            <a:avLst/>
          </a:prstGeom>
        </xdr:spPr>
      </xdr:pic>
      <xdr:pic>
        <xdr:nvPicPr>
          <xdr:cNvPr id="3" name="Imagem 2"/>
          <xdr:cNvPicPr>
            <a:picLocks noChangeAspect="1"/>
          </xdr:cNvPicPr>
        </xdr:nvPicPr>
        <xdr:blipFill>
          <a:blip xmlns:r="http://schemas.openxmlformats.org/officeDocument/2006/relationships" r:embed="rId2"/>
          <a:stretch>
            <a:fillRect/>
          </a:stretch>
        </xdr:blipFill>
        <xdr:spPr>
          <a:xfrm>
            <a:off x="57150" y="30175200"/>
            <a:ext cx="5628571" cy="7095238"/>
          </a:xfrm>
          <a:prstGeom prst="rect">
            <a:avLst/>
          </a:prstGeom>
        </xdr:spPr>
      </xdr:pic>
      <xdr:pic>
        <xdr:nvPicPr>
          <xdr:cNvPr id="4" name="Imagem 3"/>
          <xdr:cNvPicPr>
            <a:picLocks noChangeAspect="1"/>
          </xdr:cNvPicPr>
        </xdr:nvPicPr>
        <xdr:blipFill>
          <a:blip xmlns:r="http://schemas.openxmlformats.org/officeDocument/2006/relationships" r:embed="rId3"/>
          <a:stretch>
            <a:fillRect/>
          </a:stretch>
        </xdr:blipFill>
        <xdr:spPr>
          <a:xfrm>
            <a:off x="104775" y="37280850"/>
            <a:ext cx="5600000" cy="497142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5</xdr:col>
      <xdr:colOff>443528</xdr:colOff>
      <xdr:row>45</xdr:row>
      <xdr:rowOff>47309</xdr:rowOff>
    </xdr:to>
    <xdr:pic>
      <xdr:nvPicPr>
        <xdr:cNvPr id="2" name="Imagem 1"/>
        <xdr:cNvPicPr>
          <a:picLocks noChangeAspect="1"/>
        </xdr:cNvPicPr>
      </xdr:nvPicPr>
      <xdr:blipFill>
        <a:blip xmlns:r="http://schemas.openxmlformats.org/officeDocument/2006/relationships" r:embed="rId1"/>
        <a:stretch>
          <a:fillRect/>
        </a:stretch>
      </xdr:blipFill>
      <xdr:spPr>
        <a:xfrm>
          <a:off x="95250" y="9791700"/>
          <a:ext cx="7771428" cy="25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57</xdr:row>
      <xdr:rowOff>0</xdr:rowOff>
    </xdr:from>
    <xdr:to>
      <xdr:col>4</xdr:col>
      <xdr:colOff>2990192</xdr:colOff>
      <xdr:row>169</xdr:row>
      <xdr:rowOff>180738</xdr:rowOff>
    </xdr:to>
    <xdr:grpSp>
      <xdr:nvGrpSpPr>
        <xdr:cNvPr id="6" name="Grupo 5"/>
        <xdr:cNvGrpSpPr/>
      </xdr:nvGrpSpPr>
      <xdr:grpSpPr>
        <a:xfrm>
          <a:off x="66675" y="34873406"/>
          <a:ext cx="5590517" cy="21516738"/>
          <a:chOff x="66675" y="22174200"/>
          <a:chExt cx="5295242" cy="21516738"/>
        </a:xfrm>
      </xdr:grpSpPr>
      <xdr:pic>
        <xdr:nvPicPr>
          <xdr:cNvPr id="2" name="Imagem 1"/>
          <xdr:cNvPicPr>
            <a:picLocks noChangeAspect="1"/>
          </xdr:cNvPicPr>
        </xdr:nvPicPr>
        <xdr:blipFill>
          <a:blip xmlns:r="http://schemas.openxmlformats.org/officeDocument/2006/relationships" r:embed="rId1"/>
          <a:stretch>
            <a:fillRect/>
          </a:stretch>
        </xdr:blipFill>
        <xdr:spPr>
          <a:xfrm>
            <a:off x="95250" y="22174200"/>
            <a:ext cx="5266667" cy="6276190"/>
          </a:xfrm>
          <a:prstGeom prst="rect">
            <a:avLst/>
          </a:prstGeom>
        </xdr:spPr>
      </xdr:pic>
      <xdr:pic>
        <xdr:nvPicPr>
          <xdr:cNvPr id="3" name="Imagem 2"/>
          <xdr:cNvPicPr>
            <a:picLocks noChangeAspect="1"/>
          </xdr:cNvPicPr>
        </xdr:nvPicPr>
        <xdr:blipFill>
          <a:blip xmlns:r="http://schemas.openxmlformats.org/officeDocument/2006/relationships" r:embed="rId2"/>
          <a:stretch>
            <a:fillRect/>
          </a:stretch>
        </xdr:blipFill>
        <xdr:spPr>
          <a:xfrm>
            <a:off x="85725" y="28413075"/>
            <a:ext cx="5247619" cy="6733333"/>
          </a:xfrm>
          <a:prstGeom prst="rect">
            <a:avLst/>
          </a:prstGeom>
        </xdr:spPr>
      </xdr:pic>
      <xdr:pic>
        <xdr:nvPicPr>
          <xdr:cNvPr id="4" name="Imagem 3"/>
          <xdr:cNvPicPr>
            <a:picLocks noChangeAspect="1"/>
          </xdr:cNvPicPr>
        </xdr:nvPicPr>
        <xdr:blipFill>
          <a:blip xmlns:r="http://schemas.openxmlformats.org/officeDocument/2006/relationships" r:embed="rId3"/>
          <a:stretch>
            <a:fillRect/>
          </a:stretch>
        </xdr:blipFill>
        <xdr:spPr>
          <a:xfrm>
            <a:off x="66675" y="35109150"/>
            <a:ext cx="5266667" cy="6733333"/>
          </a:xfrm>
          <a:prstGeom prst="rect">
            <a:avLst/>
          </a:prstGeom>
        </xdr:spPr>
      </xdr:pic>
      <xdr:pic>
        <xdr:nvPicPr>
          <xdr:cNvPr id="5" name="Imagem 4"/>
          <xdr:cNvPicPr>
            <a:picLocks noChangeAspect="1"/>
          </xdr:cNvPicPr>
        </xdr:nvPicPr>
        <xdr:blipFill>
          <a:blip xmlns:r="http://schemas.openxmlformats.org/officeDocument/2006/relationships" r:embed="rId4"/>
          <a:stretch>
            <a:fillRect/>
          </a:stretch>
        </xdr:blipFill>
        <xdr:spPr>
          <a:xfrm>
            <a:off x="95250" y="41795700"/>
            <a:ext cx="5257143" cy="1895238"/>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49</xdr:row>
      <xdr:rowOff>0</xdr:rowOff>
    </xdr:from>
    <xdr:to>
      <xdr:col>4</xdr:col>
      <xdr:colOff>3647426</xdr:colOff>
      <xdr:row>239</xdr:row>
      <xdr:rowOff>113863</xdr:rowOff>
    </xdr:to>
    <xdr:grpSp>
      <xdr:nvGrpSpPr>
        <xdr:cNvPr id="8" name="Grupo 7"/>
        <xdr:cNvGrpSpPr/>
      </xdr:nvGrpSpPr>
      <xdr:grpSpPr>
        <a:xfrm>
          <a:off x="797719" y="35337750"/>
          <a:ext cx="5504801" cy="36308863"/>
          <a:chOff x="571500" y="21174075"/>
          <a:chExt cx="5219051" cy="36308863"/>
        </a:xfrm>
      </xdr:grpSpPr>
      <xdr:pic>
        <xdr:nvPicPr>
          <xdr:cNvPr id="2" name="Imagem 1"/>
          <xdr:cNvPicPr>
            <a:picLocks noChangeAspect="1"/>
          </xdr:cNvPicPr>
        </xdr:nvPicPr>
        <xdr:blipFill>
          <a:blip xmlns:r="http://schemas.openxmlformats.org/officeDocument/2006/relationships" r:embed="rId1"/>
          <a:stretch>
            <a:fillRect/>
          </a:stretch>
        </xdr:blipFill>
        <xdr:spPr>
          <a:xfrm>
            <a:off x="571500" y="21174075"/>
            <a:ext cx="5161905" cy="6304762"/>
          </a:xfrm>
          <a:prstGeom prst="rect">
            <a:avLst/>
          </a:prstGeom>
        </xdr:spPr>
      </xdr:pic>
      <xdr:pic>
        <xdr:nvPicPr>
          <xdr:cNvPr id="3" name="Imagem 2"/>
          <xdr:cNvPicPr>
            <a:picLocks noChangeAspect="1"/>
          </xdr:cNvPicPr>
        </xdr:nvPicPr>
        <xdr:blipFill>
          <a:blip xmlns:r="http://schemas.openxmlformats.org/officeDocument/2006/relationships" r:embed="rId2"/>
          <a:stretch>
            <a:fillRect/>
          </a:stretch>
        </xdr:blipFill>
        <xdr:spPr>
          <a:xfrm>
            <a:off x="600075" y="27460575"/>
            <a:ext cx="5190476" cy="6619048"/>
          </a:xfrm>
          <a:prstGeom prst="rect">
            <a:avLst/>
          </a:prstGeom>
        </xdr:spPr>
      </xdr:pic>
      <xdr:pic>
        <xdr:nvPicPr>
          <xdr:cNvPr id="4" name="Imagem 3"/>
          <xdr:cNvPicPr>
            <a:picLocks noChangeAspect="1"/>
          </xdr:cNvPicPr>
        </xdr:nvPicPr>
        <xdr:blipFill>
          <a:blip xmlns:r="http://schemas.openxmlformats.org/officeDocument/2006/relationships" r:embed="rId3"/>
          <a:stretch>
            <a:fillRect/>
          </a:stretch>
        </xdr:blipFill>
        <xdr:spPr>
          <a:xfrm>
            <a:off x="619125" y="34061400"/>
            <a:ext cx="5142857" cy="6580952"/>
          </a:xfrm>
          <a:prstGeom prst="rect">
            <a:avLst/>
          </a:prstGeom>
        </xdr:spPr>
      </xdr:pic>
      <xdr:pic>
        <xdr:nvPicPr>
          <xdr:cNvPr id="5" name="Imagem 4"/>
          <xdr:cNvPicPr>
            <a:picLocks noChangeAspect="1"/>
          </xdr:cNvPicPr>
        </xdr:nvPicPr>
        <xdr:blipFill>
          <a:blip xmlns:r="http://schemas.openxmlformats.org/officeDocument/2006/relationships" r:embed="rId4"/>
          <a:stretch>
            <a:fillRect/>
          </a:stretch>
        </xdr:blipFill>
        <xdr:spPr>
          <a:xfrm>
            <a:off x="600075" y="40652700"/>
            <a:ext cx="5152381" cy="6733333"/>
          </a:xfrm>
          <a:prstGeom prst="rect">
            <a:avLst/>
          </a:prstGeom>
        </xdr:spPr>
      </xdr:pic>
      <xdr:pic>
        <xdr:nvPicPr>
          <xdr:cNvPr id="6" name="Imagem 5"/>
          <xdr:cNvPicPr>
            <a:picLocks noChangeAspect="1"/>
          </xdr:cNvPicPr>
        </xdr:nvPicPr>
        <xdr:blipFill>
          <a:blip xmlns:r="http://schemas.openxmlformats.org/officeDocument/2006/relationships" r:embed="rId5"/>
          <a:stretch>
            <a:fillRect/>
          </a:stretch>
        </xdr:blipFill>
        <xdr:spPr>
          <a:xfrm>
            <a:off x="590550" y="47339250"/>
            <a:ext cx="5171429" cy="6619048"/>
          </a:xfrm>
          <a:prstGeom prst="rect">
            <a:avLst/>
          </a:prstGeom>
        </xdr:spPr>
      </xdr:pic>
      <xdr:pic>
        <xdr:nvPicPr>
          <xdr:cNvPr id="7" name="Imagem 6"/>
          <xdr:cNvPicPr>
            <a:picLocks noChangeAspect="1"/>
          </xdr:cNvPicPr>
        </xdr:nvPicPr>
        <xdr:blipFill>
          <a:blip xmlns:r="http://schemas.openxmlformats.org/officeDocument/2006/relationships" r:embed="rId6"/>
          <a:stretch>
            <a:fillRect/>
          </a:stretch>
        </xdr:blipFill>
        <xdr:spPr>
          <a:xfrm>
            <a:off x="590550" y="53987700"/>
            <a:ext cx="5152381" cy="3495238"/>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26</xdr:row>
      <xdr:rowOff>0</xdr:rowOff>
    </xdr:from>
    <xdr:to>
      <xdr:col>8</xdr:col>
      <xdr:colOff>294064</xdr:colOff>
      <xdr:row>116</xdr:row>
      <xdr:rowOff>9111</xdr:rowOff>
    </xdr:to>
    <xdr:grpSp>
      <xdr:nvGrpSpPr>
        <xdr:cNvPr id="6" name="Grupo 5"/>
        <xdr:cNvGrpSpPr/>
      </xdr:nvGrpSpPr>
      <xdr:grpSpPr>
        <a:xfrm>
          <a:off x="797719" y="14358938"/>
          <a:ext cx="10592970" cy="17154111"/>
          <a:chOff x="571500" y="10868025"/>
          <a:chExt cx="9771439" cy="17154111"/>
        </a:xfrm>
      </xdr:grpSpPr>
      <xdr:pic>
        <xdr:nvPicPr>
          <xdr:cNvPr id="3" name="Imagem 2"/>
          <xdr:cNvPicPr>
            <a:picLocks noChangeAspect="1"/>
          </xdr:cNvPicPr>
        </xdr:nvPicPr>
        <xdr:blipFill>
          <a:blip xmlns:r="http://schemas.openxmlformats.org/officeDocument/2006/relationships" r:embed="rId1"/>
          <a:stretch>
            <a:fillRect/>
          </a:stretch>
        </xdr:blipFill>
        <xdr:spPr>
          <a:xfrm>
            <a:off x="571500" y="10868025"/>
            <a:ext cx="9752381" cy="1400000"/>
          </a:xfrm>
          <a:prstGeom prst="rect">
            <a:avLst/>
          </a:prstGeom>
        </xdr:spPr>
      </xdr:pic>
      <xdr:pic>
        <xdr:nvPicPr>
          <xdr:cNvPr id="4" name="Imagem 3"/>
          <xdr:cNvPicPr>
            <a:picLocks noChangeAspect="1"/>
          </xdr:cNvPicPr>
        </xdr:nvPicPr>
        <xdr:blipFill>
          <a:blip xmlns:r="http://schemas.openxmlformats.org/officeDocument/2006/relationships" r:embed="rId2"/>
          <a:stretch>
            <a:fillRect/>
          </a:stretch>
        </xdr:blipFill>
        <xdr:spPr>
          <a:xfrm>
            <a:off x="647699" y="12228140"/>
            <a:ext cx="9686925" cy="12536022"/>
          </a:xfrm>
          <a:prstGeom prst="rect">
            <a:avLst/>
          </a:prstGeom>
        </xdr:spPr>
      </xdr:pic>
      <xdr:pic>
        <xdr:nvPicPr>
          <xdr:cNvPr id="5" name="Imagem 4"/>
          <xdr:cNvPicPr>
            <a:picLocks noChangeAspect="1"/>
          </xdr:cNvPicPr>
        </xdr:nvPicPr>
        <xdr:blipFill>
          <a:blip xmlns:r="http://schemas.openxmlformats.org/officeDocument/2006/relationships" r:embed="rId3"/>
          <a:stretch>
            <a:fillRect/>
          </a:stretch>
        </xdr:blipFill>
        <xdr:spPr>
          <a:xfrm>
            <a:off x="657225" y="24707850"/>
            <a:ext cx="9685714" cy="3314286"/>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36</xdr:row>
      <xdr:rowOff>0</xdr:rowOff>
    </xdr:from>
    <xdr:to>
      <xdr:col>5</xdr:col>
      <xdr:colOff>1102815</xdr:colOff>
      <xdr:row>56</xdr:row>
      <xdr:rowOff>18952</xdr:rowOff>
    </xdr:to>
    <xdr:grpSp>
      <xdr:nvGrpSpPr>
        <xdr:cNvPr id="4" name="Grupo 3"/>
        <xdr:cNvGrpSpPr/>
      </xdr:nvGrpSpPr>
      <xdr:grpSpPr>
        <a:xfrm>
          <a:off x="95250" y="18430875"/>
          <a:ext cx="8210846" cy="3828952"/>
          <a:chOff x="100853" y="15878735"/>
          <a:chExt cx="7714286" cy="3828952"/>
        </a:xfrm>
      </xdr:grpSpPr>
      <xdr:pic>
        <xdr:nvPicPr>
          <xdr:cNvPr id="2" name="Imagem 1"/>
          <xdr:cNvPicPr>
            <a:picLocks noChangeAspect="1"/>
          </xdr:cNvPicPr>
        </xdr:nvPicPr>
        <xdr:blipFill>
          <a:blip xmlns:r="http://schemas.openxmlformats.org/officeDocument/2006/relationships" r:embed="rId1"/>
          <a:stretch>
            <a:fillRect/>
          </a:stretch>
        </xdr:blipFill>
        <xdr:spPr>
          <a:xfrm>
            <a:off x="100853" y="15878735"/>
            <a:ext cx="7714286" cy="3104762"/>
          </a:xfrm>
          <a:prstGeom prst="rect">
            <a:avLst/>
          </a:prstGeom>
        </xdr:spPr>
      </xdr:pic>
      <xdr:pic>
        <xdr:nvPicPr>
          <xdr:cNvPr id="3" name="Imagem 2"/>
          <xdr:cNvPicPr>
            <a:picLocks noChangeAspect="1"/>
          </xdr:cNvPicPr>
        </xdr:nvPicPr>
        <xdr:blipFill>
          <a:blip xmlns:r="http://schemas.openxmlformats.org/officeDocument/2006/relationships" r:embed="rId2"/>
          <a:stretch>
            <a:fillRect/>
          </a:stretch>
        </xdr:blipFill>
        <xdr:spPr>
          <a:xfrm>
            <a:off x="112059" y="18926735"/>
            <a:ext cx="7695238" cy="780952"/>
          </a:xfrm>
          <a:prstGeom prst="rect">
            <a:avLst/>
          </a:prstGeom>
        </xdr:spPr>
      </xdr:pic>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showGridLines="0" tabSelected="1" zoomScale="80" zoomScaleNormal="80" workbookViewId="0"/>
  </sheetViews>
  <sheetFormatPr defaultRowHeight="15" x14ac:dyDescent="0.25"/>
  <sheetData>
    <row r="1" spans="1:1" x14ac:dyDescent="0.25">
      <c r="A1" s="4" t="s">
        <v>154</v>
      </c>
    </row>
    <row r="2" spans="1:1" x14ac:dyDescent="0.25">
      <c r="A2" s="32" t="s">
        <v>591</v>
      </c>
    </row>
    <row r="3" spans="1:1" x14ac:dyDescent="0.25">
      <c r="A3" s="32" t="s">
        <v>153</v>
      </c>
    </row>
  </sheetData>
  <pageMargins left="0.25" right="0.25" top="0.75" bottom="0.75" header="0.3" footer="0.3"/>
  <pageSetup paperSize="9" scale="57"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8"/>
  <sheetViews>
    <sheetView showGridLines="0" zoomScale="80" zoomScaleNormal="80" workbookViewId="0"/>
  </sheetViews>
  <sheetFormatPr defaultRowHeight="15" outlineLevelRow="1" outlineLevelCol="1" x14ac:dyDescent="0.25"/>
  <cols>
    <col min="1" max="1" width="1.42578125" customWidth="1"/>
    <col min="2" max="2" width="10.5703125" bestFit="1" customWidth="1"/>
    <col min="3" max="3" width="14" bestFit="1" customWidth="1"/>
    <col min="4" max="4" width="13.85546875" bestFit="1" customWidth="1"/>
    <col min="5" max="5" width="68.42578125" customWidth="1" outlineLevel="1"/>
    <col min="6" max="8" width="16.7109375" customWidth="1" outlineLevel="1"/>
    <col min="9" max="9" width="19" customWidth="1"/>
    <col min="10" max="10" width="1.7109375" style="93" customWidth="1"/>
    <col min="11" max="11" width="8.42578125" customWidth="1" outlineLevel="1"/>
    <col min="12" max="12" width="9.7109375" bestFit="1" customWidth="1" outlineLevel="1"/>
    <col min="13" max="13" width="82.5703125" customWidth="1" outlineLevel="1"/>
  </cols>
  <sheetData>
    <row r="1" spans="1:13" x14ac:dyDescent="0.25">
      <c r="A1" s="4" t="s">
        <v>154</v>
      </c>
      <c r="F1" s="3"/>
      <c r="G1" s="3"/>
      <c r="H1" s="3"/>
    </row>
    <row r="2" spans="1:13" x14ac:dyDescent="0.25">
      <c r="A2" s="32" t="s">
        <v>480</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102</v>
      </c>
      <c r="G6" s="144"/>
      <c r="H6" s="147"/>
    </row>
    <row r="7" spans="1:13" ht="6" customHeight="1" x14ac:dyDescent="0.25"/>
    <row r="8" spans="1:13" ht="35.25" customHeight="1" x14ac:dyDescent="0.25">
      <c r="B8" s="114" t="s">
        <v>0</v>
      </c>
      <c r="C8" s="114" t="s">
        <v>2</v>
      </c>
      <c r="D8" s="114" t="s">
        <v>6</v>
      </c>
      <c r="E8" s="114" t="s">
        <v>11</v>
      </c>
      <c r="F8" s="141" t="s">
        <v>12</v>
      </c>
      <c r="G8" s="141"/>
      <c r="H8" s="141"/>
      <c r="I8" s="115" t="s">
        <v>13</v>
      </c>
      <c r="J8" s="111"/>
      <c r="K8" s="115" t="s">
        <v>19</v>
      </c>
      <c r="L8" s="114" t="s">
        <v>4</v>
      </c>
      <c r="M8" s="114" t="s">
        <v>25</v>
      </c>
    </row>
    <row r="9" spans="1:13" ht="196.5" customHeight="1" outlineLevel="1" x14ac:dyDescent="0.25">
      <c r="B9" s="133" t="s">
        <v>481</v>
      </c>
      <c r="C9" s="125" t="s">
        <v>482</v>
      </c>
      <c r="D9" s="133" t="s">
        <v>51</v>
      </c>
      <c r="E9" s="131" t="s">
        <v>483</v>
      </c>
      <c r="F9" s="46" t="s">
        <v>596</v>
      </c>
      <c r="G9" s="46" t="s">
        <v>598</v>
      </c>
      <c r="H9" s="46" t="s">
        <v>597</v>
      </c>
      <c r="I9" s="46" t="s">
        <v>40</v>
      </c>
      <c r="J9" s="88" t="s">
        <v>871</v>
      </c>
      <c r="K9" s="15" t="s">
        <v>17</v>
      </c>
      <c r="L9" s="15">
        <v>1</v>
      </c>
      <c r="M9" s="16" t="s">
        <v>484</v>
      </c>
    </row>
    <row r="10" spans="1:13" ht="105" outlineLevel="1" x14ac:dyDescent="0.25">
      <c r="B10" s="133"/>
      <c r="C10" s="125"/>
      <c r="D10" s="133"/>
      <c r="E10" s="132"/>
      <c r="F10" s="10"/>
      <c r="G10" s="10"/>
      <c r="H10" s="10"/>
      <c r="I10" s="9" t="s">
        <v>14</v>
      </c>
      <c r="J10" s="88" t="s">
        <v>872</v>
      </c>
      <c r="K10" s="15" t="s">
        <v>17</v>
      </c>
      <c r="L10" s="15">
        <v>2</v>
      </c>
      <c r="M10" s="16" t="s">
        <v>599</v>
      </c>
    </row>
    <row r="11" spans="1:13" ht="65.25" customHeight="1" outlineLevel="1" x14ac:dyDescent="0.25">
      <c r="B11" s="133"/>
      <c r="C11" s="125"/>
      <c r="D11" s="133"/>
      <c r="E11" s="18" t="s">
        <v>24</v>
      </c>
      <c r="F11" s="155">
        <f>COUNTIF(F10:G10,"Sim")</f>
        <v>0</v>
      </c>
      <c r="G11" s="156"/>
      <c r="H11" s="23">
        <f>COUNTIF(H5:H10,"Sim")</f>
        <v>0</v>
      </c>
      <c r="I11" s="9"/>
      <c r="J11" s="88" t="s">
        <v>873</v>
      </c>
      <c r="K11" s="15" t="s">
        <v>18</v>
      </c>
      <c r="L11" s="15">
        <v>2</v>
      </c>
      <c r="M11" s="16" t="s">
        <v>485</v>
      </c>
    </row>
    <row r="12" spans="1:13" x14ac:dyDescent="0.25">
      <c r="A12" s="94" t="str">
        <f>B9</f>
        <v>MP056</v>
      </c>
      <c r="B12" s="133"/>
      <c r="C12" s="125"/>
      <c r="D12" s="133"/>
      <c r="E12" s="19" t="s">
        <v>22</v>
      </c>
      <c r="F12" s="153" t="str">
        <f>IF(F11=2,"Nível 2 ou 3","Nível 1")</f>
        <v>Nível 1</v>
      </c>
      <c r="G12" s="154"/>
      <c r="H12" s="13" t="str">
        <f>IF(H11=1,"Nível 3","Nível 2")</f>
        <v>Nível 2</v>
      </c>
      <c r="I12" s="14" t="str">
        <f>IF(F12="Nível 1",F12,H12)</f>
        <v>Nível 1</v>
      </c>
      <c r="J12" s="88"/>
    </row>
    <row r="13" spans="1:13" x14ac:dyDescent="0.25">
      <c r="A13" s="94"/>
    </row>
    <row r="14" spans="1:13" ht="105" outlineLevel="1" x14ac:dyDescent="0.25">
      <c r="A14" s="94"/>
      <c r="B14" s="133" t="s">
        <v>486</v>
      </c>
      <c r="C14" s="125" t="s">
        <v>482</v>
      </c>
      <c r="D14" s="133" t="s">
        <v>7</v>
      </c>
      <c r="E14" s="16" t="s">
        <v>487</v>
      </c>
      <c r="F14" s="46" t="s">
        <v>600</v>
      </c>
      <c r="G14" s="46" t="s">
        <v>9</v>
      </c>
      <c r="H14" s="46" t="s">
        <v>10</v>
      </c>
      <c r="I14" s="46" t="s">
        <v>40</v>
      </c>
      <c r="J14" s="110" t="s">
        <v>874</v>
      </c>
      <c r="K14" s="15" t="s">
        <v>17</v>
      </c>
      <c r="L14" s="15">
        <v>1</v>
      </c>
      <c r="M14" s="16" t="s">
        <v>21</v>
      </c>
    </row>
    <row r="15" spans="1:13" ht="50.25" customHeight="1" outlineLevel="1" x14ac:dyDescent="0.25">
      <c r="A15" s="94"/>
      <c r="B15" s="133"/>
      <c r="C15" s="125"/>
      <c r="D15" s="133"/>
      <c r="E15" s="49" t="s">
        <v>488</v>
      </c>
      <c r="F15" s="22"/>
      <c r="G15" s="22"/>
      <c r="H15" s="22"/>
      <c r="I15" s="15" t="s">
        <v>14</v>
      </c>
      <c r="J15" s="110" t="s">
        <v>875</v>
      </c>
      <c r="K15" s="15" t="s">
        <v>17</v>
      </c>
      <c r="L15" s="15">
        <v>2</v>
      </c>
      <c r="M15" s="16" t="s">
        <v>20</v>
      </c>
    </row>
    <row r="16" spans="1:13" ht="67.5" customHeight="1" outlineLevel="1" x14ac:dyDescent="0.25">
      <c r="A16" s="94"/>
      <c r="B16" s="133"/>
      <c r="C16" s="125"/>
      <c r="D16" s="133"/>
      <c r="E16" s="50" t="s">
        <v>489</v>
      </c>
      <c r="F16" s="22"/>
      <c r="G16" s="22"/>
      <c r="H16" s="22"/>
      <c r="I16" s="15" t="s">
        <v>14</v>
      </c>
      <c r="J16" s="110" t="s">
        <v>876</v>
      </c>
      <c r="K16" s="15" t="s">
        <v>18</v>
      </c>
      <c r="L16" s="15">
        <v>3</v>
      </c>
      <c r="M16" s="16" t="s">
        <v>26</v>
      </c>
    </row>
    <row r="17" spans="1:13" ht="203.25" customHeight="1" outlineLevel="1" x14ac:dyDescent="0.25">
      <c r="A17" s="94"/>
      <c r="B17" s="133"/>
      <c r="C17" s="125"/>
      <c r="D17" s="133"/>
      <c r="E17" s="49" t="s">
        <v>490</v>
      </c>
      <c r="F17" s="22"/>
      <c r="G17" s="22"/>
      <c r="H17" s="22"/>
      <c r="I17" s="8" t="s">
        <v>14</v>
      </c>
    </row>
    <row r="18" spans="1:13" outlineLevel="1" x14ac:dyDescent="0.25">
      <c r="A18" s="94"/>
      <c r="B18" s="133"/>
      <c r="C18" s="125"/>
      <c r="D18" s="133"/>
      <c r="E18" s="49" t="s">
        <v>491</v>
      </c>
      <c r="F18" s="22"/>
      <c r="G18" s="22"/>
      <c r="H18" s="22"/>
      <c r="I18" s="8" t="s">
        <v>14</v>
      </c>
    </row>
    <row r="19" spans="1:13" outlineLevel="1" x14ac:dyDescent="0.25">
      <c r="A19" s="94"/>
      <c r="B19" s="133"/>
      <c r="C19" s="125"/>
      <c r="D19" s="133"/>
      <c r="E19" s="49" t="s">
        <v>492</v>
      </c>
      <c r="F19" s="22"/>
      <c r="G19" s="22"/>
      <c r="H19" s="22"/>
      <c r="I19" s="8" t="s">
        <v>14</v>
      </c>
    </row>
    <row r="20" spans="1:13" outlineLevel="1" x14ac:dyDescent="0.25">
      <c r="A20" s="94"/>
      <c r="B20" s="133"/>
      <c r="C20" s="125"/>
      <c r="D20" s="133"/>
      <c r="E20" s="18" t="s">
        <v>24</v>
      </c>
      <c r="F20" s="23">
        <f>COUNTIF(F15:F19,"Sim")</f>
        <v>0</v>
      </c>
      <c r="G20" s="23">
        <f>COUNTIF(G15:H19,"Sim")</f>
        <v>0</v>
      </c>
      <c r="H20" s="8" t="s">
        <v>14</v>
      </c>
      <c r="I20" s="8" t="s">
        <v>14</v>
      </c>
    </row>
    <row r="21" spans="1:13" x14ac:dyDescent="0.25">
      <c r="A21" s="94" t="str">
        <f>B14</f>
        <v>MP057</v>
      </c>
      <c r="B21" s="133"/>
      <c r="C21" s="125"/>
      <c r="D21" s="133"/>
      <c r="E21" s="19" t="s">
        <v>22</v>
      </c>
      <c r="F21" s="24" t="str">
        <f>IF(F20=5,"Nível  2 ou 3","Nível 1")</f>
        <v>Nível 1</v>
      </c>
      <c r="G21" s="24" t="str">
        <f>IF(SUM(G20)=10,"Nível 3","Nível 2")</f>
        <v>Nível 2</v>
      </c>
      <c r="H21" s="11" t="s">
        <v>14</v>
      </c>
      <c r="I21" s="25" t="str">
        <f>IF(F21="Nível 1",F21,G21)</f>
        <v>Nível 1</v>
      </c>
    </row>
    <row r="22" spans="1:13" x14ac:dyDescent="0.25">
      <c r="A22" s="94"/>
    </row>
    <row r="23" spans="1:13" ht="276" customHeight="1" outlineLevel="1" x14ac:dyDescent="0.25">
      <c r="A23" s="94"/>
      <c r="B23" s="133" t="s">
        <v>493</v>
      </c>
      <c r="C23" s="125" t="s">
        <v>482</v>
      </c>
      <c r="D23" s="133" t="s">
        <v>7</v>
      </c>
      <c r="E23" s="131" t="s">
        <v>494</v>
      </c>
      <c r="F23" s="46" t="s">
        <v>495</v>
      </c>
      <c r="G23" s="15" t="s">
        <v>14</v>
      </c>
      <c r="H23" s="15" t="s">
        <v>14</v>
      </c>
      <c r="I23" s="46" t="s">
        <v>40</v>
      </c>
      <c r="J23" s="93" t="s">
        <v>877</v>
      </c>
      <c r="K23" s="15" t="s">
        <v>17</v>
      </c>
      <c r="L23" s="15">
        <v>1</v>
      </c>
      <c r="M23" s="16" t="s">
        <v>601</v>
      </c>
    </row>
    <row r="24" spans="1:13" outlineLevel="1" x14ac:dyDescent="0.25">
      <c r="A24" s="94"/>
      <c r="B24" s="133"/>
      <c r="C24" s="125"/>
      <c r="D24" s="133"/>
      <c r="E24" s="132"/>
      <c r="F24" s="22"/>
      <c r="G24" s="15" t="s">
        <v>14</v>
      </c>
      <c r="H24" s="15" t="s">
        <v>14</v>
      </c>
      <c r="I24" s="8" t="s">
        <v>14</v>
      </c>
    </row>
    <row r="25" spans="1:13" x14ac:dyDescent="0.25">
      <c r="A25" s="94" t="str">
        <f>B23</f>
        <v>MP058</v>
      </c>
      <c r="B25" s="133"/>
      <c r="C25" s="125"/>
      <c r="D25" s="133"/>
      <c r="E25" s="19" t="s">
        <v>22</v>
      </c>
      <c r="F25" s="24" t="str">
        <f>IF(F24="Sim","Nível 3","Nível 1")</f>
        <v>Nível 1</v>
      </c>
      <c r="G25" s="8" t="s">
        <v>14</v>
      </c>
      <c r="H25" s="8" t="s">
        <v>14</v>
      </c>
      <c r="I25" s="25" t="str">
        <f>F25</f>
        <v>Nível 1</v>
      </c>
    </row>
    <row r="26" spans="1:13" x14ac:dyDescent="0.25">
      <c r="A26" s="94"/>
    </row>
    <row r="27" spans="1:13" ht="173.25" customHeight="1" outlineLevel="1" x14ac:dyDescent="0.25">
      <c r="A27" s="94"/>
      <c r="B27" s="133" t="s">
        <v>496</v>
      </c>
      <c r="C27" s="125" t="s">
        <v>482</v>
      </c>
      <c r="D27" s="133" t="s">
        <v>7</v>
      </c>
      <c r="E27" s="131" t="s">
        <v>497</v>
      </c>
      <c r="F27" s="46" t="s">
        <v>498</v>
      </c>
      <c r="G27" s="8" t="s">
        <v>14</v>
      </c>
      <c r="H27" s="8" t="s">
        <v>14</v>
      </c>
      <c r="I27" s="46" t="s">
        <v>40</v>
      </c>
      <c r="J27" s="93" t="s">
        <v>878</v>
      </c>
      <c r="K27" s="15" t="s">
        <v>17</v>
      </c>
      <c r="L27" s="15">
        <v>1</v>
      </c>
      <c r="M27" s="16" t="s">
        <v>499</v>
      </c>
    </row>
    <row r="28" spans="1:13" outlineLevel="1" x14ac:dyDescent="0.25">
      <c r="A28" s="94"/>
      <c r="B28" s="133"/>
      <c r="C28" s="125"/>
      <c r="D28" s="133"/>
      <c r="E28" s="132"/>
      <c r="F28" s="22"/>
      <c r="G28" s="8" t="s">
        <v>14</v>
      </c>
      <c r="H28" s="8" t="s">
        <v>14</v>
      </c>
      <c r="I28" s="8" t="s">
        <v>14</v>
      </c>
    </row>
    <row r="29" spans="1:13" x14ac:dyDescent="0.25">
      <c r="A29" s="94" t="str">
        <f>B27</f>
        <v>MP059</v>
      </c>
      <c r="B29" s="133"/>
      <c r="C29" s="125"/>
      <c r="D29" s="133"/>
      <c r="E29" s="19" t="s">
        <v>22</v>
      </c>
      <c r="F29" s="24" t="str">
        <f>IF(F28="Sim","Nível 3","Nível 1")</f>
        <v>Nível 1</v>
      </c>
      <c r="G29" s="8" t="s">
        <v>14</v>
      </c>
      <c r="H29" s="8" t="s">
        <v>14</v>
      </c>
      <c r="I29" s="25" t="str">
        <f>F29</f>
        <v>Nível 1</v>
      </c>
    </row>
    <row r="30" spans="1:13" x14ac:dyDescent="0.25">
      <c r="A30" s="94"/>
    </row>
    <row r="31" spans="1:13" ht="234.75" customHeight="1" outlineLevel="1" x14ac:dyDescent="0.25">
      <c r="A31" s="94"/>
      <c r="B31" s="133" t="s">
        <v>500</v>
      </c>
      <c r="C31" s="125" t="s">
        <v>482</v>
      </c>
      <c r="D31" s="134" t="s">
        <v>51</v>
      </c>
      <c r="E31" s="131" t="s">
        <v>501</v>
      </c>
      <c r="F31" s="46" t="s">
        <v>602</v>
      </c>
      <c r="G31" s="8" t="s">
        <v>14</v>
      </c>
      <c r="H31" s="8" t="s">
        <v>14</v>
      </c>
      <c r="I31" s="46" t="s">
        <v>40</v>
      </c>
      <c r="J31" s="93" t="s">
        <v>879</v>
      </c>
      <c r="K31" s="15" t="s">
        <v>17</v>
      </c>
      <c r="L31" s="15">
        <v>1</v>
      </c>
      <c r="M31" s="16" t="s">
        <v>502</v>
      </c>
    </row>
    <row r="32" spans="1:13" outlineLevel="1" x14ac:dyDescent="0.25">
      <c r="A32" s="94"/>
      <c r="B32" s="133"/>
      <c r="C32" s="125"/>
      <c r="D32" s="135"/>
      <c r="E32" s="132"/>
      <c r="F32" s="22"/>
      <c r="G32" s="8" t="s">
        <v>14</v>
      </c>
      <c r="H32" s="8" t="s">
        <v>14</v>
      </c>
      <c r="I32" s="8" t="s">
        <v>14</v>
      </c>
    </row>
    <row r="33" spans="1:13" x14ac:dyDescent="0.25">
      <c r="A33" s="94" t="str">
        <f>B31</f>
        <v>MP060</v>
      </c>
      <c r="B33" s="133"/>
      <c r="C33" s="125"/>
      <c r="D33" s="136"/>
      <c r="E33" s="19" t="s">
        <v>22</v>
      </c>
      <c r="F33" s="24" t="str">
        <f>IF(F32="Sim","Nível 3","Nível 1")</f>
        <v>Nível 1</v>
      </c>
      <c r="G33" s="8" t="s">
        <v>14</v>
      </c>
      <c r="H33" s="8" t="s">
        <v>14</v>
      </c>
      <c r="I33" s="25" t="str">
        <f>F33</f>
        <v>Nível 1</v>
      </c>
    </row>
    <row r="34" spans="1:13" x14ac:dyDescent="0.25">
      <c r="A34" s="94"/>
    </row>
    <row r="35" spans="1:13" ht="153.75" customHeight="1" outlineLevel="1" x14ac:dyDescent="0.25">
      <c r="A35" s="94"/>
      <c r="B35" s="133" t="s">
        <v>503</v>
      </c>
      <c r="C35" s="125" t="s">
        <v>482</v>
      </c>
      <c r="D35" s="133" t="s">
        <v>7</v>
      </c>
      <c r="E35" s="131" t="s">
        <v>603</v>
      </c>
      <c r="F35" s="46" t="s">
        <v>604</v>
      </c>
      <c r="G35" s="46" t="s">
        <v>605</v>
      </c>
      <c r="H35" s="54" t="s">
        <v>606</v>
      </c>
      <c r="I35" s="46" t="s">
        <v>40</v>
      </c>
      <c r="J35" s="88" t="s">
        <v>880</v>
      </c>
      <c r="K35" s="15" t="s">
        <v>17</v>
      </c>
      <c r="L35" s="15">
        <v>1</v>
      </c>
      <c r="M35" s="16" t="s">
        <v>504</v>
      </c>
    </row>
    <row r="36" spans="1:13" ht="50.25" customHeight="1" outlineLevel="1" x14ac:dyDescent="0.25">
      <c r="A36" s="94"/>
      <c r="B36" s="133"/>
      <c r="C36" s="125"/>
      <c r="D36" s="133"/>
      <c r="E36" s="132"/>
      <c r="F36" s="10"/>
      <c r="G36" s="10"/>
      <c r="H36" s="10"/>
      <c r="I36" s="9" t="s">
        <v>14</v>
      </c>
      <c r="J36" s="88" t="s">
        <v>881</v>
      </c>
      <c r="K36" s="15" t="s">
        <v>17</v>
      </c>
      <c r="L36" s="15">
        <v>2</v>
      </c>
      <c r="M36" s="16" t="s">
        <v>505</v>
      </c>
    </row>
    <row r="37" spans="1:13" ht="54" customHeight="1" outlineLevel="1" x14ac:dyDescent="0.25">
      <c r="A37" s="94"/>
      <c r="B37" s="133"/>
      <c r="C37" s="125"/>
      <c r="D37" s="133"/>
      <c r="E37" s="18" t="s">
        <v>24</v>
      </c>
      <c r="F37" s="23">
        <f>COUNTIF(F36,"Sim")</f>
        <v>0</v>
      </c>
      <c r="G37" s="23">
        <f>COUNTIF(G36:H36,"Sim")</f>
        <v>0</v>
      </c>
      <c r="H37" s="9" t="s">
        <v>14</v>
      </c>
      <c r="I37" s="9" t="s">
        <v>14</v>
      </c>
      <c r="J37" s="88" t="s">
        <v>882</v>
      </c>
      <c r="K37" s="15" t="s">
        <v>17</v>
      </c>
      <c r="L37" s="15">
        <v>3</v>
      </c>
      <c r="M37" s="16" t="s">
        <v>607</v>
      </c>
    </row>
    <row r="38" spans="1:13" ht="75" customHeight="1" x14ac:dyDescent="0.25">
      <c r="A38" s="94" t="str">
        <f>B35</f>
        <v>MP061</v>
      </c>
      <c r="B38" s="133"/>
      <c r="C38" s="125"/>
      <c r="D38" s="133"/>
      <c r="E38" s="19" t="s">
        <v>22</v>
      </c>
      <c r="F38" s="24" t="str">
        <f>IF(F36="Sim","Nível 2 ou 3","Nível 1")</f>
        <v>Nível 1</v>
      </c>
      <c r="G38" s="24" t="str">
        <f>IF(G37=2,"Nível 3","Nível 2")</f>
        <v>Nível 2</v>
      </c>
      <c r="H38" s="9" t="s">
        <v>14</v>
      </c>
      <c r="I38" s="25" t="str">
        <f>IF(F38="Nível 1",F38,G38)</f>
        <v>Nível 1</v>
      </c>
      <c r="J38" s="88" t="s">
        <v>883</v>
      </c>
      <c r="K38" s="15" t="s">
        <v>18</v>
      </c>
      <c r="L38" s="15">
        <v>4</v>
      </c>
      <c r="M38" s="16" t="s">
        <v>506</v>
      </c>
    </row>
    <row r="39" spans="1:13" x14ac:dyDescent="0.25">
      <c r="A39" s="94"/>
      <c r="L39" s="6"/>
      <c r="M39" s="2"/>
    </row>
    <row r="40" spans="1:13" x14ac:dyDescent="0.25">
      <c r="A40" s="94"/>
      <c r="L40" s="6"/>
      <c r="M40" s="2"/>
    </row>
    <row r="41" spans="1:13" ht="213.75" customHeight="1" outlineLevel="1" x14ac:dyDescent="0.25">
      <c r="A41" s="94"/>
      <c r="B41" s="133" t="s">
        <v>507</v>
      </c>
      <c r="C41" s="125" t="s">
        <v>482</v>
      </c>
      <c r="D41" s="133" t="s">
        <v>51</v>
      </c>
      <c r="E41" s="131" t="s">
        <v>508</v>
      </c>
      <c r="F41" s="46" t="s">
        <v>610</v>
      </c>
      <c r="G41" s="54" t="s">
        <v>611</v>
      </c>
      <c r="H41" s="54" t="s">
        <v>612</v>
      </c>
      <c r="I41" s="46" t="s">
        <v>40</v>
      </c>
      <c r="J41" s="88" t="s">
        <v>884</v>
      </c>
      <c r="K41" s="15" t="s">
        <v>17</v>
      </c>
      <c r="L41" s="15">
        <v>1</v>
      </c>
      <c r="M41" s="16" t="s">
        <v>608</v>
      </c>
    </row>
    <row r="42" spans="1:13" ht="71.25" customHeight="1" outlineLevel="1" x14ac:dyDescent="0.25">
      <c r="A42" s="94"/>
      <c r="B42" s="133"/>
      <c r="C42" s="125"/>
      <c r="D42" s="133"/>
      <c r="E42" s="132"/>
      <c r="F42" s="10"/>
      <c r="G42" s="10"/>
      <c r="H42" s="10"/>
      <c r="I42" s="9" t="s">
        <v>14</v>
      </c>
      <c r="J42" s="88" t="s">
        <v>885</v>
      </c>
      <c r="K42" s="15" t="s">
        <v>18</v>
      </c>
      <c r="L42" s="15">
        <v>2</v>
      </c>
      <c r="M42" s="16" t="s">
        <v>609</v>
      </c>
    </row>
    <row r="43" spans="1:13" outlineLevel="1" x14ac:dyDescent="0.25">
      <c r="A43" s="94"/>
      <c r="B43" s="133"/>
      <c r="C43" s="125"/>
      <c r="D43" s="133"/>
      <c r="E43" s="18" t="s">
        <v>24</v>
      </c>
      <c r="F43" s="155">
        <f>COUNTIF(F42:G42,"Sim")</f>
        <v>0</v>
      </c>
      <c r="G43" s="156"/>
      <c r="H43" s="23">
        <f>COUNTIF(H42,"Sim")</f>
        <v>0</v>
      </c>
      <c r="I43" s="9" t="s">
        <v>14</v>
      </c>
      <c r="J43" s="88"/>
      <c r="K43" s="40"/>
      <c r="L43" s="40"/>
      <c r="M43" s="41"/>
    </row>
    <row r="44" spans="1:13" x14ac:dyDescent="0.25">
      <c r="A44" s="94" t="str">
        <f>B41</f>
        <v>MP062</v>
      </c>
      <c r="B44" s="133"/>
      <c r="C44" s="125"/>
      <c r="D44" s="133"/>
      <c r="E44" s="19" t="s">
        <v>22</v>
      </c>
      <c r="F44" s="157" t="str">
        <f>IF(F43=2,"Nível 2 ou 3","Nível 1")</f>
        <v>Nível 1</v>
      </c>
      <c r="G44" s="158"/>
      <c r="H44" s="24" t="str">
        <f>IF(H43=1,"Nível 3","Nível 2")</f>
        <v>Nível 2</v>
      </c>
      <c r="I44" s="25" t="str">
        <f>IF(F44="Nível 1",F44,H44)</f>
        <v>Nível 1</v>
      </c>
      <c r="L44" s="6"/>
      <c r="M44" s="2"/>
    </row>
    <row r="45" spans="1:13" x14ac:dyDescent="0.25">
      <c r="A45" s="94"/>
    </row>
    <row r="46" spans="1:13" ht="105" outlineLevel="1" x14ac:dyDescent="0.25">
      <c r="A46" s="94"/>
      <c r="B46" s="133" t="s">
        <v>509</v>
      </c>
      <c r="C46" s="125" t="s">
        <v>482</v>
      </c>
      <c r="D46" s="133" t="s">
        <v>7</v>
      </c>
      <c r="E46" s="131" t="s">
        <v>510</v>
      </c>
      <c r="F46" s="46" t="s">
        <v>511</v>
      </c>
      <c r="G46" s="8" t="s">
        <v>14</v>
      </c>
      <c r="H46" s="8" t="s">
        <v>14</v>
      </c>
      <c r="I46" s="46" t="s">
        <v>40</v>
      </c>
      <c r="J46" s="88" t="s">
        <v>886</v>
      </c>
      <c r="K46" s="15" t="s">
        <v>17</v>
      </c>
      <c r="L46" s="15">
        <v>1</v>
      </c>
      <c r="M46" s="16" t="s">
        <v>512</v>
      </c>
    </row>
    <row r="47" spans="1:13" ht="105" outlineLevel="1" x14ac:dyDescent="0.25">
      <c r="A47" s="94"/>
      <c r="B47" s="133"/>
      <c r="C47" s="125"/>
      <c r="D47" s="133"/>
      <c r="E47" s="132"/>
      <c r="F47" s="10"/>
      <c r="G47" s="8" t="s">
        <v>14</v>
      </c>
      <c r="H47" s="8" t="s">
        <v>14</v>
      </c>
      <c r="I47" s="9" t="s">
        <v>14</v>
      </c>
      <c r="J47" s="88" t="s">
        <v>887</v>
      </c>
      <c r="K47" s="15" t="s">
        <v>17</v>
      </c>
      <c r="L47" s="15">
        <v>2</v>
      </c>
      <c r="M47" s="16" t="s">
        <v>513</v>
      </c>
    </row>
    <row r="48" spans="1:13" x14ac:dyDescent="0.25">
      <c r="A48" s="94" t="str">
        <f>B46</f>
        <v>MP063</v>
      </c>
      <c r="B48" s="133"/>
      <c r="C48" s="125"/>
      <c r="D48" s="133"/>
      <c r="E48" s="19" t="s">
        <v>22</v>
      </c>
      <c r="F48" s="24" t="str">
        <f>IF(F47="Sim","Nível 3","Nível 1")</f>
        <v>Nível 1</v>
      </c>
      <c r="G48" s="11" t="s">
        <v>14</v>
      </c>
      <c r="H48" s="11" t="s">
        <v>14</v>
      </c>
      <c r="I48" s="25" t="str">
        <f>F48</f>
        <v>Nível 1</v>
      </c>
      <c r="L48" s="6"/>
      <c r="M48" s="2"/>
    </row>
  </sheetData>
  <mergeCells count="40">
    <mergeCell ref="F43:G43"/>
    <mergeCell ref="F44:G44"/>
    <mergeCell ref="E46:E47"/>
    <mergeCell ref="E23:E24"/>
    <mergeCell ref="E27:E28"/>
    <mergeCell ref="E31:E32"/>
    <mergeCell ref="E35:E36"/>
    <mergeCell ref="E41:E42"/>
    <mergeCell ref="B9:B12"/>
    <mergeCell ref="C9:C12"/>
    <mergeCell ref="D9:D12"/>
    <mergeCell ref="F2:H2"/>
    <mergeCell ref="E4:E6"/>
    <mergeCell ref="G4:G6"/>
    <mergeCell ref="H4:H6"/>
    <mergeCell ref="F8:H8"/>
    <mergeCell ref="E9:E10"/>
    <mergeCell ref="F11:G11"/>
    <mergeCell ref="F12:G12"/>
    <mergeCell ref="B14:B21"/>
    <mergeCell ref="C14:C21"/>
    <mergeCell ref="D14:D21"/>
    <mergeCell ref="B23:B25"/>
    <mergeCell ref="C23:C25"/>
    <mergeCell ref="D23:D25"/>
    <mergeCell ref="B27:B29"/>
    <mergeCell ref="C27:C29"/>
    <mergeCell ref="D27:D29"/>
    <mergeCell ref="B31:B33"/>
    <mergeCell ref="C31:C33"/>
    <mergeCell ref="D31:D33"/>
    <mergeCell ref="B46:B48"/>
    <mergeCell ref="C46:C48"/>
    <mergeCell ref="D46:D48"/>
    <mergeCell ref="B35:B38"/>
    <mergeCell ref="C35:C38"/>
    <mergeCell ref="D35:D38"/>
    <mergeCell ref="B41:B44"/>
    <mergeCell ref="C41:C44"/>
    <mergeCell ref="D41:D44"/>
  </mergeCells>
  <pageMargins left="0.23622047244094491" right="0.23622047244094491" top="0.74803149606299213" bottom="0.74803149606299213" header="0.31496062992125984" footer="0.31496062992125984"/>
  <pageSetup paperSize="9" scale="51" orientation="landscape" r:id="rId1"/>
  <rowBreaks count="1" manualBreakCount="1">
    <brk id="13" max="12"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5"/>
  <sheetViews>
    <sheetView showGridLines="0" zoomScale="80" zoomScaleNormal="80" workbookViewId="0">
      <pane ySplit="8" topLeftCell="A9" activePane="bottomLeft" state="frozen"/>
      <selection activeCell="E59" sqref="E59"/>
      <selection pane="bottomLeft" activeCell="A9" sqref="A9"/>
    </sheetView>
  </sheetViews>
  <sheetFormatPr defaultRowHeight="15" outlineLevelRow="1" outlineLevelCol="1" x14ac:dyDescent="0.25"/>
  <cols>
    <col min="1" max="1" width="1.42578125" customWidth="1"/>
    <col min="2" max="2" width="10.5703125" bestFit="1" customWidth="1"/>
    <col min="3" max="3" width="20.28515625" customWidth="1"/>
    <col min="4" max="4" width="15.42578125" bestFit="1" customWidth="1"/>
    <col min="5" max="5" width="68.42578125" customWidth="1" outlineLevel="1"/>
    <col min="6" max="8" width="16.7109375" customWidth="1" outlineLevel="1"/>
    <col min="9" max="9" width="19" customWidth="1"/>
    <col min="10" max="10" width="1.42578125" style="87" customWidth="1"/>
    <col min="11" max="11" width="8.42578125" customWidth="1" outlineLevel="1"/>
    <col min="12" max="12" width="9.140625" customWidth="1" outlineLevel="1"/>
    <col min="13" max="13" width="63" customWidth="1" outlineLevel="1"/>
  </cols>
  <sheetData>
    <row r="1" spans="1:13" x14ac:dyDescent="0.25">
      <c r="A1" s="4" t="s">
        <v>154</v>
      </c>
      <c r="F1" s="3"/>
      <c r="G1" s="3"/>
      <c r="H1" s="3"/>
    </row>
    <row r="2" spans="1:13" x14ac:dyDescent="0.25">
      <c r="A2" s="32" t="s">
        <v>720</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102</v>
      </c>
      <c r="G6" s="144"/>
      <c r="H6" s="147"/>
    </row>
    <row r="8" spans="1:13" s="95" customFormat="1" ht="39" customHeight="1" x14ac:dyDescent="0.25">
      <c r="B8" s="116" t="s">
        <v>0</v>
      </c>
      <c r="C8" s="116" t="s">
        <v>2</v>
      </c>
      <c r="D8" s="116" t="s">
        <v>6</v>
      </c>
      <c r="E8" s="116" t="s">
        <v>11</v>
      </c>
      <c r="F8" s="159" t="s">
        <v>12</v>
      </c>
      <c r="G8" s="159"/>
      <c r="H8" s="159"/>
      <c r="I8" s="115" t="s">
        <v>13</v>
      </c>
      <c r="J8" s="118"/>
      <c r="K8" s="117" t="s">
        <v>19</v>
      </c>
      <c r="L8" s="116" t="s">
        <v>4</v>
      </c>
      <c r="M8" s="114" t="s">
        <v>25</v>
      </c>
    </row>
    <row r="9" spans="1:13" ht="105" outlineLevel="1" x14ac:dyDescent="0.25">
      <c r="B9" s="125" t="s">
        <v>715</v>
      </c>
      <c r="C9" s="125" t="s">
        <v>719</v>
      </c>
      <c r="D9" s="133" t="s">
        <v>7</v>
      </c>
      <c r="E9" s="16" t="s">
        <v>721</v>
      </c>
      <c r="F9" s="72" t="s">
        <v>518</v>
      </c>
      <c r="G9" s="72" t="s">
        <v>9</v>
      </c>
      <c r="H9" s="72" t="s">
        <v>10</v>
      </c>
      <c r="I9" s="72" t="s">
        <v>40</v>
      </c>
      <c r="J9" s="88" t="s">
        <v>888</v>
      </c>
      <c r="K9" s="8" t="s">
        <v>17</v>
      </c>
      <c r="L9" s="15">
        <v>1</v>
      </c>
      <c r="M9" s="16" t="s">
        <v>724</v>
      </c>
    </row>
    <row r="10" spans="1:13" ht="105" outlineLevel="1" x14ac:dyDescent="0.25">
      <c r="B10" s="125"/>
      <c r="C10" s="125"/>
      <c r="D10" s="133"/>
      <c r="E10" s="20" t="s">
        <v>722</v>
      </c>
      <c r="F10" s="22"/>
      <c r="G10" s="22"/>
      <c r="H10" s="22"/>
      <c r="I10" s="9" t="s">
        <v>14</v>
      </c>
      <c r="J10" s="88" t="s">
        <v>889</v>
      </c>
      <c r="K10" s="8" t="s">
        <v>18</v>
      </c>
      <c r="L10" s="15">
        <v>2</v>
      </c>
      <c r="M10" s="16" t="s">
        <v>725</v>
      </c>
    </row>
    <row r="11" spans="1:13" ht="102.75" customHeight="1" outlineLevel="1" x14ac:dyDescent="0.25">
      <c r="B11" s="125"/>
      <c r="C11" s="125"/>
      <c r="D11" s="133"/>
      <c r="E11" s="21" t="s">
        <v>723</v>
      </c>
      <c r="F11" s="22"/>
      <c r="G11" s="22"/>
      <c r="H11" s="22"/>
      <c r="I11" s="11" t="s">
        <v>14</v>
      </c>
      <c r="J11" s="88" t="s">
        <v>890</v>
      </c>
      <c r="K11" s="8" t="s">
        <v>18</v>
      </c>
      <c r="L11" s="15">
        <v>3</v>
      </c>
      <c r="M11" s="16" t="s">
        <v>726</v>
      </c>
    </row>
    <row r="12" spans="1:13" outlineLevel="1" x14ac:dyDescent="0.25">
      <c r="B12" s="125"/>
      <c r="C12" s="125"/>
      <c r="D12" s="133"/>
      <c r="E12" s="18" t="s">
        <v>24</v>
      </c>
      <c r="F12" s="12">
        <f>COUNTIF(F10:F11,"Sim")</f>
        <v>0</v>
      </c>
      <c r="G12" s="12">
        <f>COUNTIF(G10:G11,"Sim")</f>
        <v>0</v>
      </c>
      <c r="H12" s="12">
        <f>COUNTIF(H10:H11,"Sim")</f>
        <v>0</v>
      </c>
      <c r="I12" s="9" t="s">
        <v>14</v>
      </c>
      <c r="J12" s="89"/>
      <c r="K12" s="1"/>
      <c r="L12" s="3"/>
      <c r="M12" s="2"/>
    </row>
    <row r="13" spans="1:13" x14ac:dyDescent="0.25">
      <c r="A13" s="94" t="str">
        <f>B9</f>
        <v>MP064</v>
      </c>
      <c r="B13" s="125"/>
      <c r="C13" s="125"/>
      <c r="D13" s="133"/>
      <c r="E13" s="19" t="s">
        <v>22</v>
      </c>
      <c r="F13" s="13" t="str">
        <f>IF(F12=2,"Nível 2 ou 3","Nível 1")</f>
        <v>Nível 1</v>
      </c>
      <c r="G13" s="13" t="str">
        <f>IF(SUM(G12:H12)=4,"Nível 3","Nível 2")</f>
        <v>Nível 2</v>
      </c>
      <c r="H13" s="11" t="s">
        <v>14</v>
      </c>
      <c r="I13" s="14" t="str">
        <f>IF(F13="Nível 1",F13,G13)</f>
        <v>Nível 1</v>
      </c>
      <c r="L13" s="6"/>
      <c r="M13" s="2"/>
    </row>
    <row r="14" spans="1:13" x14ac:dyDescent="0.25">
      <c r="A14" s="94"/>
    </row>
    <row r="15" spans="1:13" ht="60" customHeight="1" outlineLevel="1" x14ac:dyDescent="0.25">
      <c r="A15" s="94"/>
      <c r="B15" s="125" t="s">
        <v>716</v>
      </c>
      <c r="C15" s="125" t="s">
        <v>719</v>
      </c>
      <c r="D15" s="133" t="s">
        <v>7</v>
      </c>
      <c r="E15" s="131" t="s">
        <v>731</v>
      </c>
      <c r="F15" s="72" t="s">
        <v>727</v>
      </c>
      <c r="G15" s="72" t="s">
        <v>728</v>
      </c>
      <c r="H15" s="8" t="s">
        <v>14</v>
      </c>
      <c r="I15" s="72" t="s">
        <v>40</v>
      </c>
      <c r="J15" s="109" t="s">
        <v>891</v>
      </c>
      <c r="K15" s="8" t="s">
        <v>17</v>
      </c>
      <c r="L15" s="15">
        <v>1</v>
      </c>
      <c r="M15" s="16" t="s">
        <v>729</v>
      </c>
    </row>
    <row r="16" spans="1:13" ht="105" outlineLevel="1" x14ac:dyDescent="0.25">
      <c r="A16" s="94"/>
      <c r="B16" s="125"/>
      <c r="C16" s="125"/>
      <c r="D16" s="133"/>
      <c r="E16" s="132"/>
      <c r="F16" s="22"/>
      <c r="G16" s="22"/>
      <c r="H16" s="15" t="s">
        <v>14</v>
      </c>
      <c r="I16" s="15" t="s">
        <v>14</v>
      </c>
      <c r="J16" s="109" t="s">
        <v>892</v>
      </c>
      <c r="K16" s="8" t="s">
        <v>18</v>
      </c>
      <c r="L16" s="15">
        <v>2</v>
      </c>
      <c r="M16" s="16" t="s">
        <v>730</v>
      </c>
    </row>
    <row r="17" spans="1:13" x14ac:dyDescent="0.25">
      <c r="A17" s="94" t="str">
        <f>B15</f>
        <v>MP065</v>
      </c>
      <c r="B17" s="125"/>
      <c r="C17" s="125"/>
      <c r="D17" s="133"/>
      <c r="E17" s="19" t="s">
        <v>22</v>
      </c>
      <c r="F17" s="24" t="str">
        <f>IF(F16="Sim","Nível 2 ou 3","Nível 1")</f>
        <v>Nível 1</v>
      </c>
      <c r="G17" s="24" t="str">
        <f>IF(G16="Sim","Nível 3","Nível 2")</f>
        <v>Nível 2</v>
      </c>
      <c r="H17" s="8" t="s">
        <v>14</v>
      </c>
      <c r="I17" s="25" t="str">
        <f>IF(F17="Nível 1",F17,G17)</f>
        <v>Nível 1</v>
      </c>
    </row>
    <row r="18" spans="1:13" x14ac:dyDescent="0.25">
      <c r="A18" s="94"/>
    </row>
    <row r="19" spans="1:13" ht="105" outlineLevel="1" x14ac:dyDescent="0.25">
      <c r="A19" s="94"/>
      <c r="B19" s="125" t="s">
        <v>717</v>
      </c>
      <c r="C19" s="125" t="s">
        <v>719</v>
      </c>
      <c r="D19" s="133" t="s">
        <v>7</v>
      </c>
      <c r="E19" s="131" t="s">
        <v>732</v>
      </c>
      <c r="F19" s="72" t="s">
        <v>727</v>
      </c>
      <c r="G19" s="72" t="s">
        <v>728</v>
      </c>
      <c r="H19" s="15" t="s">
        <v>14</v>
      </c>
      <c r="I19" s="72" t="s">
        <v>40</v>
      </c>
      <c r="J19" s="109" t="s">
        <v>893</v>
      </c>
      <c r="K19" s="8" t="s">
        <v>17</v>
      </c>
      <c r="L19" s="15">
        <v>1</v>
      </c>
      <c r="M19" s="16" t="s">
        <v>733</v>
      </c>
    </row>
    <row r="20" spans="1:13" ht="105" outlineLevel="1" x14ac:dyDescent="0.25">
      <c r="A20" s="94"/>
      <c r="B20" s="125"/>
      <c r="C20" s="125"/>
      <c r="D20" s="133"/>
      <c r="E20" s="132"/>
      <c r="F20" s="22"/>
      <c r="G20" s="22"/>
      <c r="H20" s="15" t="s">
        <v>14</v>
      </c>
      <c r="I20" s="8" t="s">
        <v>14</v>
      </c>
      <c r="J20" s="111" t="s">
        <v>894</v>
      </c>
      <c r="K20" s="8" t="s">
        <v>18</v>
      </c>
      <c r="L20" s="15">
        <v>2</v>
      </c>
      <c r="M20" s="16" t="s">
        <v>734</v>
      </c>
    </row>
    <row r="21" spans="1:13" x14ac:dyDescent="0.25">
      <c r="A21" s="94" t="str">
        <f>B19</f>
        <v>MP066</v>
      </c>
      <c r="B21" s="125"/>
      <c r="C21" s="125"/>
      <c r="D21" s="133"/>
      <c r="E21" s="19" t="s">
        <v>22</v>
      </c>
      <c r="F21" s="24" t="str">
        <f>IF(F20="Sim","Nível 2 ou 3","Nível 1")</f>
        <v>Nível 1</v>
      </c>
      <c r="G21" s="24" t="str">
        <f>IF(G20="Sim","Nível 3","Nível 2")</f>
        <v>Nível 2</v>
      </c>
      <c r="H21" s="8" t="s">
        <v>14</v>
      </c>
      <c r="I21" s="25" t="str">
        <f>IF(F21="Nível 1",F21,G21)</f>
        <v>Nível 1</v>
      </c>
    </row>
    <row r="22" spans="1:13" x14ac:dyDescent="0.25">
      <c r="A22" s="94"/>
    </row>
    <row r="23" spans="1:13" ht="91.5" customHeight="1" outlineLevel="1" x14ac:dyDescent="0.25">
      <c r="A23" s="94"/>
      <c r="B23" s="125" t="s">
        <v>718</v>
      </c>
      <c r="C23" s="125" t="s">
        <v>719</v>
      </c>
      <c r="D23" s="133" t="s">
        <v>7</v>
      </c>
      <c r="E23" s="131" t="s">
        <v>735</v>
      </c>
      <c r="F23" s="72" t="s">
        <v>738</v>
      </c>
      <c r="G23" s="72" t="s">
        <v>739</v>
      </c>
      <c r="H23" s="8" t="s">
        <v>14</v>
      </c>
      <c r="I23" s="72" t="s">
        <v>40</v>
      </c>
      <c r="J23" s="88" t="s">
        <v>895</v>
      </c>
      <c r="K23" s="8" t="s">
        <v>17</v>
      </c>
      <c r="L23" s="15">
        <v>1</v>
      </c>
      <c r="M23" s="16" t="s">
        <v>736</v>
      </c>
    </row>
    <row r="24" spans="1:13" ht="71.25" customHeight="1" outlineLevel="1" x14ac:dyDescent="0.25">
      <c r="A24" s="94"/>
      <c r="B24" s="125"/>
      <c r="C24" s="125"/>
      <c r="D24" s="133"/>
      <c r="E24" s="132"/>
      <c r="F24" s="10"/>
      <c r="G24" s="10"/>
      <c r="H24" s="8" t="s">
        <v>14</v>
      </c>
      <c r="I24" s="8" t="s">
        <v>14</v>
      </c>
      <c r="J24" s="89" t="s">
        <v>896</v>
      </c>
      <c r="K24" s="8" t="s">
        <v>18</v>
      </c>
      <c r="L24" s="15">
        <v>2</v>
      </c>
      <c r="M24" s="16" t="s">
        <v>737</v>
      </c>
    </row>
    <row r="25" spans="1:13" x14ac:dyDescent="0.25">
      <c r="A25" s="94" t="str">
        <f>B23</f>
        <v>MP067</v>
      </c>
      <c r="B25" s="125"/>
      <c r="C25" s="125"/>
      <c r="D25" s="133"/>
      <c r="E25" s="19" t="s">
        <v>22</v>
      </c>
      <c r="F25" s="24" t="str">
        <f>IF(F24="Sim","Nível 2 ou 3","Nível 1")</f>
        <v>Nível 1</v>
      </c>
      <c r="G25" s="24" t="str">
        <f>IF(G24="Sim","Nível 3","Nível 2")</f>
        <v>Nível 2</v>
      </c>
      <c r="H25" s="8" t="s">
        <v>14</v>
      </c>
      <c r="I25" s="25" t="str">
        <f>IF(F25="Nível 1",F25,G25)</f>
        <v>Nível 1</v>
      </c>
      <c r="L25" s="6"/>
      <c r="M25" s="2"/>
    </row>
  </sheetData>
  <mergeCells count="20">
    <mergeCell ref="E15:E16"/>
    <mergeCell ref="E19:E20"/>
    <mergeCell ref="B23:B25"/>
    <mergeCell ref="C23:C25"/>
    <mergeCell ref="D23:D25"/>
    <mergeCell ref="E23:E24"/>
    <mergeCell ref="B15:B17"/>
    <mergeCell ref="C15:C17"/>
    <mergeCell ref="D15:D17"/>
    <mergeCell ref="B19:B21"/>
    <mergeCell ref="C19:C21"/>
    <mergeCell ref="D19:D21"/>
    <mergeCell ref="B9:B13"/>
    <mergeCell ref="C9:C13"/>
    <mergeCell ref="D9:D13"/>
    <mergeCell ref="F2:H2"/>
    <mergeCell ref="E4:E6"/>
    <mergeCell ref="G4:G6"/>
    <mergeCell ref="H4:H6"/>
    <mergeCell ref="F8:H8"/>
  </mergeCells>
  <pageMargins left="0.25" right="0.25" top="0.75" bottom="0.75" header="0.3" footer="0.3"/>
  <pageSetup paperSize="9" scale="53"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5"/>
  <sheetViews>
    <sheetView showGridLines="0" zoomScale="80" zoomScaleNormal="80" workbookViewId="0">
      <pane ySplit="9" topLeftCell="A10" activePane="bottomLeft" state="frozen"/>
      <selection activeCell="E59" sqref="E59"/>
      <selection pane="bottomLeft" activeCell="A10" sqref="A10"/>
    </sheetView>
  </sheetViews>
  <sheetFormatPr defaultRowHeight="15" outlineLevelRow="1" outlineLevelCol="1" x14ac:dyDescent="0.25"/>
  <cols>
    <col min="1" max="1" width="1.42578125" customWidth="1"/>
    <col min="2" max="2" width="10.42578125" customWidth="1"/>
    <col min="3" max="3" width="14" customWidth="1"/>
    <col min="4" max="4" width="13.85546875" bestFit="1" customWidth="1"/>
    <col min="5" max="5" width="68.42578125" customWidth="1" outlineLevel="1"/>
    <col min="6" max="6" width="16.7109375" customWidth="1" outlineLevel="1"/>
    <col min="7" max="7" width="22.140625" customWidth="1" outlineLevel="1"/>
    <col min="8" max="8" width="16.7109375" customWidth="1" outlineLevel="1"/>
    <col min="9" max="9" width="19" customWidth="1"/>
    <col min="10" max="10" width="1.140625" style="87" customWidth="1"/>
    <col min="11" max="11" width="8.42578125" customWidth="1" outlineLevel="1"/>
    <col min="12" max="12" width="9.7109375" bestFit="1" customWidth="1" outlineLevel="1"/>
    <col min="13" max="13" width="63" customWidth="1" outlineLevel="1"/>
  </cols>
  <sheetData>
    <row r="1" spans="1:14" x14ac:dyDescent="0.25">
      <c r="A1" s="4" t="s">
        <v>154</v>
      </c>
      <c r="F1" s="3"/>
      <c r="G1" s="3"/>
      <c r="H1" s="3"/>
    </row>
    <row r="2" spans="1:14" x14ac:dyDescent="0.25">
      <c r="A2" s="32" t="s">
        <v>357</v>
      </c>
      <c r="F2" s="137" t="s">
        <v>32</v>
      </c>
      <c r="G2" s="138"/>
      <c r="H2" s="139"/>
    </row>
    <row r="3" spans="1:14" x14ac:dyDescent="0.25">
      <c r="A3" s="32" t="s">
        <v>153</v>
      </c>
      <c r="E3" s="28" t="s">
        <v>38</v>
      </c>
      <c r="F3" s="29" t="s">
        <v>33</v>
      </c>
      <c r="G3" s="30" t="s">
        <v>34</v>
      </c>
      <c r="H3" s="31" t="s">
        <v>35</v>
      </c>
    </row>
    <row r="4" spans="1:14" x14ac:dyDescent="0.25">
      <c r="A4" s="4"/>
      <c r="E4" s="140" t="s">
        <v>39</v>
      </c>
      <c r="F4" s="7" t="s">
        <v>15</v>
      </c>
      <c r="G4" s="142" t="s">
        <v>36</v>
      </c>
      <c r="H4" s="145" t="s">
        <v>37</v>
      </c>
    </row>
    <row r="5" spans="1:14" x14ac:dyDescent="0.25">
      <c r="A5" s="4"/>
      <c r="E5" s="140"/>
      <c r="F5" s="7" t="s">
        <v>16</v>
      </c>
      <c r="G5" s="143"/>
      <c r="H5" s="146"/>
    </row>
    <row r="6" spans="1:14" x14ac:dyDescent="0.25">
      <c r="A6" s="4"/>
      <c r="E6" s="140"/>
      <c r="F6" s="7"/>
      <c r="G6" s="143"/>
      <c r="H6" s="146"/>
    </row>
    <row r="7" spans="1:14" x14ac:dyDescent="0.25">
      <c r="A7" s="4"/>
      <c r="E7" s="140"/>
      <c r="F7" s="7" t="s">
        <v>102</v>
      </c>
      <c r="G7" s="144"/>
      <c r="H7" s="147"/>
    </row>
    <row r="9" spans="1:14" s="95" customFormat="1" ht="31.5" customHeight="1" x14ac:dyDescent="0.25">
      <c r="B9" s="114" t="s">
        <v>0</v>
      </c>
      <c r="C9" s="114" t="s">
        <v>2</v>
      </c>
      <c r="D9" s="114" t="s">
        <v>6</v>
      </c>
      <c r="E9" s="114" t="s">
        <v>11</v>
      </c>
      <c r="F9" s="141" t="s">
        <v>12</v>
      </c>
      <c r="G9" s="141"/>
      <c r="H9" s="141"/>
      <c r="I9" s="115" t="s">
        <v>13</v>
      </c>
      <c r="J9" s="119"/>
      <c r="K9" s="115" t="s">
        <v>19</v>
      </c>
      <c r="L9" s="114" t="s">
        <v>4</v>
      </c>
      <c r="M9" s="114" t="s">
        <v>25</v>
      </c>
    </row>
    <row r="10" spans="1:14" ht="111.75" customHeight="1" outlineLevel="1" x14ac:dyDescent="0.25">
      <c r="B10" s="133" t="s">
        <v>358</v>
      </c>
      <c r="C10" s="125" t="s">
        <v>357</v>
      </c>
      <c r="D10" s="133" t="s">
        <v>7</v>
      </c>
      <c r="E10" s="16" t="s">
        <v>359</v>
      </c>
      <c r="F10" s="36" t="s">
        <v>8</v>
      </c>
      <c r="G10" s="36" t="s">
        <v>360</v>
      </c>
      <c r="H10" s="8" t="s">
        <v>14</v>
      </c>
      <c r="I10" s="36" t="s">
        <v>40</v>
      </c>
      <c r="J10" s="88" t="s">
        <v>897</v>
      </c>
      <c r="K10" s="8" t="s">
        <v>17</v>
      </c>
      <c r="L10" s="15">
        <v>1</v>
      </c>
      <c r="M10" s="16" t="s">
        <v>361</v>
      </c>
    </row>
    <row r="11" spans="1:14" ht="105" outlineLevel="1" x14ac:dyDescent="0.25">
      <c r="B11" s="133"/>
      <c r="C11" s="125"/>
      <c r="D11" s="133"/>
      <c r="E11" s="20" t="s">
        <v>362</v>
      </c>
      <c r="F11" s="7"/>
      <c r="G11" s="7"/>
      <c r="H11" s="15" t="s">
        <v>14</v>
      </c>
      <c r="I11" s="9" t="s">
        <v>14</v>
      </c>
      <c r="J11" s="88" t="s">
        <v>898</v>
      </c>
      <c r="K11" s="8" t="s">
        <v>17</v>
      </c>
      <c r="L11" s="15">
        <v>2</v>
      </c>
      <c r="M11" s="16" t="s">
        <v>363</v>
      </c>
    </row>
    <row r="12" spans="1:14" ht="78" customHeight="1" outlineLevel="1" x14ac:dyDescent="0.25">
      <c r="B12" s="133"/>
      <c r="C12" s="125"/>
      <c r="D12" s="133"/>
      <c r="E12" s="20" t="s">
        <v>364</v>
      </c>
      <c r="F12" s="7"/>
      <c r="G12" s="7"/>
      <c r="H12" s="15" t="s">
        <v>14</v>
      </c>
      <c r="I12" s="11" t="s">
        <v>14</v>
      </c>
      <c r="J12" s="88" t="s">
        <v>899</v>
      </c>
      <c r="K12" s="8" t="s">
        <v>18</v>
      </c>
      <c r="L12" s="15">
        <v>3</v>
      </c>
      <c r="M12" s="16" t="s">
        <v>365</v>
      </c>
    </row>
    <row r="13" spans="1:14" ht="43.9" customHeight="1" outlineLevel="1" x14ac:dyDescent="0.25">
      <c r="B13" s="133"/>
      <c r="C13" s="125"/>
      <c r="D13" s="133"/>
      <c r="E13" s="21" t="s">
        <v>366</v>
      </c>
      <c r="F13" s="7"/>
      <c r="G13" s="7"/>
      <c r="H13" s="8" t="s">
        <v>14</v>
      </c>
      <c r="I13" s="11" t="s">
        <v>14</v>
      </c>
    </row>
    <row r="14" spans="1:14" outlineLevel="1" x14ac:dyDescent="0.25">
      <c r="B14" s="133"/>
      <c r="C14" s="125"/>
      <c r="D14" s="133"/>
      <c r="E14" s="18" t="s">
        <v>24</v>
      </c>
      <c r="F14" s="12">
        <f>COUNTIF(F11:F13,"Sim")</f>
        <v>0</v>
      </c>
      <c r="G14" s="12">
        <f>COUNTIF(G11:G13,"Sim")</f>
        <v>0</v>
      </c>
      <c r="H14" s="8" t="s">
        <v>14</v>
      </c>
      <c r="I14" s="9" t="s">
        <v>14</v>
      </c>
      <c r="J14" s="89"/>
      <c r="K14" s="1"/>
      <c r="L14" s="3"/>
      <c r="M14" s="2"/>
      <c r="N14" s="45"/>
    </row>
    <row r="15" spans="1:14" x14ac:dyDescent="0.25">
      <c r="A15" t="str">
        <f>B10</f>
        <v>MP068</v>
      </c>
      <c r="B15" s="133"/>
      <c r="C15" s="125"/>
      <c r="D15" s="133"/>
      <c r="E15" s="19" t="s">
        <v>22</v>
      </c>
      <c r="F15" s="13" t="str">
        <f>IF(F14=3,"Nível 2 ou 3","Nível 1")</f>
        <v>Nível 1</v>
      </c>
      <c r="G15" s="13" t="str">
        <f>IF(SUM(F14:G14)=6,"Nível 3","Nível 2")</f>
        <v>Nível 2</v>
      </c>
      <c r="H15" s="11" t="s">
        <v>14</v>
      </c>
      <c r="I15" s="14" t="str">
        <f>IF(F15="Nível 1",F15,G15)</f>
        <v>Nível 1</v>
      </c>
      <c r="K15" s="1"/>
      <c r="L15" s="6"/>
      <c r="M15" s="2"/>
    </row>
    <row r="17" spans="1:15" ht="105" outlineLevel="1" x14ac:dyDescent="0.25">
      <c r="B17" s="133" t="s">
        <v>367</v>
      </c>
      <c r="C17" s="125" t="s">
        <v>357</v>
      </c>
      <c r="D17" s="133" t="s">
        <v>41</v>
      </c>
      <c r="E17" s="16" t="s">
        <v>384</v>
      </c>
      <c r="F17" s="36" t="s">
        <v>43</v>
      </c>
      <c r="G17" s="36" t="s">
        <v>385</v>
      </c>
      <c r="H17" s="8" t="s">
        <v>14</v>
      </c>
      <c r="I17" s="36" t="s">
        <v>40</v>
      </c>
      <c r="J17" s="90" t="s">
        <v>900</v>
      </c>
      <c r="K17" s="8" t="s">
        <v>17</v>
      </c>
      <c r="L17" s="15">
        <v>1</v>
      </c>
      <c r="M17" s="16" t="s">
        <v>368</v>
      </c>
    </row>
    <row r="18" spans="1:15" ht="45" outlineLevel="1" x14ac:dyDescent="0.25">
      <c r="B18" s="133"/>
      <c r="C18" s="125"/>
      <c r="D18" s="133"/>
      <c r="E18" s="20" t="s">
        <v>369</v>
      </c>
      <c r="F18" s="7"/>
      <c r="G18" s="7"/>
      <c r="H18" s="15" t="s">
        <v>14</v>
      </c>
      <c r="I18" s="15" t="s">
        <v>14</v>
      </c>
    </row>
    <row r="19" spans="1:15" outlineLevel="1" x14ac:dyDescent="0.25">
      <c r="B19" s="133"/>
      <c r="C19" s="125"/>
      <c r="D19" s="133"/>
      <c r="E19" s="21" t="s">
        <v>370</v>
      </c>
      <c r="F19" s="7"/>
      <c r="G19" s="7"/>
      <c r="H19" s="15" t="s">
        <v>14</v>
      </c>
      <c r="I19" s="15" t="s">
        <v>14</v>
      </c>
      <c r="N19" s="45"/>
    </row>
    <row r="20" spans="1:15" outlineLevel="1" x14ac:dyDescent="0.25">
      <c r="B20" s="133"/>
      <c r="C20" s="125"/>
      <c r="D20" s="133"/>
      <c r="E20" s="18" t="s">
        <v>24</v>
      </c>
      <c r="F20" s="23">
        <f>COUNTIF(F18:F19,"Sim")</f>
        <v>0</v>
      </c>
      <c r="G20" s="23">
        <f>COUNTIF(G18:G19,"Sim")</f>
        <v>0</v>
      </c>
      <c r="H20" s="8" t="s">
        <v>14</v>
      </c>
      <c r="I20" s="8" t="s">
        <v>14</v>
      </c>
    </row>
    <row r="21" spans="1:15" x14ac:dyDescent="0.25">
      <c r="A21" t="str">
        <f>B17</f>
        <v>MP069</v>
      </c>
      <c r="B21" s="133"/>
      <c r="C21" s="125"/>
      <c r="D21" s="133"/>
      <c r="E21" s="19" t="s">
        <v>22</v>
      </c>
      <c r="F21" s="24" t="str">
        <f>IF(F20=2,"Nível 1 ou 3","Nível 1")</f>
        <v>Nível 1</v>
      </c>
      <c r="G21" s="24" t="str">
        <f>IF(SUM(G20)=2,"Nível 3","Nível 1")</f>
        <v>Nível 1</v>
      </c>
      <c r="H21" s="8" t="s">
        <v>14</v>
      </c>
      <c r="I21" s="25" t="str">
        <f>IF(F21="Nível 1",F21,G21)</f>
        <v>Nível 1</v>
      </c>
    </row>
    <row r="23" spans="1:15" ht="76.900000000000006" customHeight="1" outlineLevel="1" x14ac:dyDescent="0.25">
      <c r="B23" s="133" t="s">
        <v>371</v>
      </c>
      <c r="C23" s="125" t="s">
        <v>357</v>
      </c>
      <c r="D23" s="133" t="s">
        <v>7</v>
      </c>
      <c r="E23" s="131" t="s">
        <v>386</v>
      </c>
      <c r="F23" s="44" t="s">
        <v>372</v>
      </c>
      <c r="G23" s="44" t="s">
        <v>373</v>
      </c>
      <c r="H23" s="15" t="s">
        <v>14</v>
      </c>
      <c r="I23" s="36" t="s">
        <v>40</v>
      </c>
      <c r="J23" s="93" t="s">
        <v>901</v>
      </c>
      <c r="K23" s="8" t="s">
        <v>17</v>
      </c>
      <c r="L23" s="15">
        <v>1</v>
      </c>
      <c r="M23" s="16" t="s">
        <v>374</v>
      </c>
    </row>
    <row r="24" spans="1:15" ht="120.6" customHeight="1" outlineLevel="1" x14ac:dyDescent="0.25">
      <c r="B24" s="133"/>
      <c r="C24" s="125"/>
      <c r="D24" s="133"/>
      <c r="E24" s="132"/>
      <c r="F24" s="7"/>
      <c r="G24" s="7"/>
      <c r="H24" s="15" t="s">
        <v>14</v>
      </c>
      <c r="I24" s="8" t="s">
        <v>14</v>
      </c>
      <c r="J24" s="93" t="s">
        <v>902</v>
      </c>
      <c r="K24" s="8" t="s">
        <v>18</v>
      </c>
      <c r="L24" s="15">
        <v>2</v>
      </c>
      <c r="M24" s="16" t="s">
        <v>375</v>
      </c>
    </row>
    <row r="25" spans="1:15" outlineLevel="1" x14ac:dyDescent="0.25">
      <c r="B25" s="133"/>
      <c r="C25" s="125"/>
      <c r="D25" s="133"/>
      <c r="E25" s="18" t="s">
        <v>24</v>
      </c>
      <c r="F25" s="23">
        <f>COUNTIF(F24:F24,"Sim")</f>
        <v>0</v>
      </c>
      <c r="G25" s="23">
        <f>COUNTIF(G24:G24,"Sim")</f>
        <v>0</v>
      </c>
      <c r="H25" s="8" t="s">
        <v>14</v>
      </c>
      <c r="I25" s="8" t="s">
        <v>14</v>
      </c>
      <c r="O25" s="45"/>
    </row>
    <row r="26" spans="1:15" x14ac:dyDescent="0.25">
      <c r="A26" t="str">
        <f>B23</f>
        <v>MP070</v>
      </c>
      <c r="B26" s="133"/>
      <c r="C26" s="125"/>
      <c r="D26" s="133"/>
      <c r="E26" s="19" t="s">
        <v>22</v>
      </c>
      <c r="F26" s="24" t="str">
        <f>IF(F25=1,"Nível 2 ou 3","Nível 1")</f>
        <v>Nível 1</v>
      </c>
      <c r="G26" s="24" t="str">
        <f>IF(SUM(F25:G25)=2,"Nível 3","Nível 2")</f>
        <v>Nível 2</v>
      </c>
      <c r="H26" s="8" t="s">
        <v>14</v>
      </c>
      <c r="I26" s="25" t="str">
        <f>IF(F26="Nível 1",F26,G26)</f>
        <v>Nível 1</v>
      </c>
    </row>
    <row r="28" spans="1:15" ht="144" customHeight="1" outlineLevel="1" x14ac:dyDescent="0.25">
      <c r="B28" s="134" t="s">
        <v>376</v>
      </c>
      <c r="C28" s="150" t="s">
        <v>357</v>
      </c>
      <c r="D28" s="134" t="s">
        <v>51</v>
      </c>
      <c r="E28" s="131" t="s">
        <v>377</v>
      </c>
      <c r="F28" s="44" t="s">
        <v>387</v>
      </c>
      <c r="G28" s="44" t="s">
        <v>388</v>
      </c>
      <c r="H28" s="44" t="s">
        <v>389</v>
      </c>
      <c r="I28" s="36" t="s">
        <v>40</v>
      </c>
      <c r="J28" s="112" t="s">
        <v>903</v>
      </c>
      <c r="K28" s="8" t="s">
        <v>17</v>
      </c>
      <c r="L28" s="15">
        <v>1</v>
      </c>
      <c r="M28" s="16" t="s">
        <v>378</v>
      </c>
    </row>
    <row r="29" spans="1:15" ht="68.45" customHeight="1" outlineLevel="1" x14ac:dyDescent="0.25">
      <c r="B29" s="135"/>
      <c r="C29" s="151"/>
      <c r="D29" s="135"/>
      <c r="E29" s="132"/>
      <c r="F29" s="7"/>
      <c r="G29" s="7"/>
      <c r="H29" s="7"/>
      <c r="I29" s="8" t="s">
        <v>14</v>
      </c>
      <c r="J29" s="112" t="s">
        <v>904</v>
      </c>
      <c r="K29" s="8" t="s">
        <v>18</v>
      </c>
      <c r="L29" s="15">
        <v>2</v>
      </c>
      <c r="M29" s="16" t="s">
        <v>379</v>
      </c>
    </row>
    <row r="30" spans="1:15" outlineLevel="1" x14ac:dyDescent="0.25">
      <c r="B30" s="135"/>
      <c r="C30" s="151"/>
      <c r="D30" s="135"/>
      <c r="E30" s="18" t="s">
        <v>24</v>
      </c>
      <c r="F30" s="12">
        <f>COUNTIF(F29,"Sim")</f>
        <v>0</v>
      </c>
      <c r="G30" s="12">
        <f>COUNTIF(G29,"Sim")</f>
        <v>0</v>
      </c>
      <c r="H30" s="12">
        <f>COUNTIF(H29,"Sim")</f>
        <v>0</v>
      </c>
      <c r="I30" s="9" t="s">
        <v>14</v>
      </c>
      <c r="J30" s="89"/>
      <c r="K30" s="1"/>
      <c r="L30" s="3"/>
      <c r="M30" s="2"/>
      <c r="O30" s="45"/>
    </row>
    <row r="31" spans="1:15" x14ac:dyDescent="0.25">
      <c r="A31" t="str">
        <f>B28</f>
        <v>MP071</v>
      </c>
      <c r="B31" s="136"/>
      <c r="C31" s="152"/>
      <c r="D31" s="136"/>
      <c r="E31" s="19" t="s">
        <v>22</v>
      </c>
      <c r="F31" s="13" t="str">
        <f>IF(F30=1,"Nível 2 ou 3","Nível 1")</f>
        <v>Nível 1</v>
      </c>
      <c r="G31" s="13" t="str">
        <f>IF(SUM(G30:H30)=2,"Nível 3","Nível 2")</f>
        <v>Nível 2</v>
      </c>
      <c r="H31" s="11" t="s">
        <v>14</v>
      </c>
      <c r="I31" s="14" t="str">
        <f>IF(F31="Nível 1",F31,G31)</f>
        <v>Nível 1</v>
      </c>
      <c r="L31" s="6"/>
      <c r="M31" s="2"/>
      <c r="O31" s="45"/>
    </row>
    <row r="32" spans="1:15" x14ac:dyDescent="0.25">
      <c r="M32" s="2"/>
    </row>
    <row r="33" spans="1:15" ht="162" customHeight="1" outlineLevel="1" x14ac:dyDescent="0.25">
      <c r="B33" s="134" t="s">
        <v>380</v>
      </c>
      <c r="C33" s="150" t="s">
        <v>357</v>
      </c>
      <c r="D33" s="134" t="s">
        <v>51</v>
      </c>
      <c r="E33" s="131" t="s">
        <v>381</v>
      </c>
      <c r="F33" s="36" t="s">
        <v>382</v>
      </c>
      <c r="G33" s="8" t="s">
        <v>14</v>
      </c>
      <c r="H33" s="8" t="s">
        <v>14</v>
      </c>
      <c r="I33" s="36" t="s">
        <v>40</v>
      </c>
      <c r="J33" s="92" t="s">
        <v>905</v>
      </c>
      <c r="K33" s="8" t="s">
        <v>17</v>
      </c>
      <c r="L33" s="15">
        <v>1</v>
      </c>
      <c r="M33" s="16" t="s">
        <v>383</v>
      </c>
      <c r="O33" s="45"/>
    </row>
    <row r="34" spans="1:15" outlineLevel="1" x14ac:dyDescent="0.25">
      <c r="B34" s="135"/>
      <c r="C34" s="151"/>
      <c r="D34" s="135"/>
      <c r="E34" s="132"/>
      <c r="F34" s="7"/>
      <c r="G34" s="8" t="s">
        <v>14</v>
      </c>
      <c r="H34" s="8" t="s">
        <v>14</v>
      </c>
      <c r="I34" s="8" t="s">
        <v>14</v>
      </c>
      <c r="O34" s="45"/>
    </row>
    <row r="35" spans="1:15" x14ac:dyDescent="0.25">
      <c r="A35" t="str">
        <f>B33</f>
        <v>MP072</v>
      </c>
      <c r="B35" s="136"/>
      <c r="C35" s="152"/>
      <c r="D35" s="136"/>
      <c r="E35" s="19" t="s">
        <v>22</v>
      </c>
      <c r="F35" s="24" t="str">
        <f>IF(F34="Sim","Nível 3","Nível 1")</f>
        <v>Nível 1</v>
      </c>
      <c r="G35" s="8" t="s">
        <v>14</v>
      </c>
      <c r="H35" s="8" t="s">
        <v>14</v>
      </c>
      <c r="I35" s="25" t="str">
        <f>F35</f>
        <v>Nível 1</v>
      </c>
    </row>
  </sheetData>
  <mergeCells count="23">
    <mergeCell ref="B10:B15"/>
    <mergeCell ref="C10:C15"/>
    <mergeCell ref="D10:D15"/>
    <mergeCell ref="F2:H2"/>
    <mergeCell ref="E4:E7"/>
    <mergeCell ref="G4:G7"/>
    <mergeCell ref="H4:H7"/>
    <mergeCell ref="F9:H9"/>
    <mergeCell ref="E33:E34"/>
    <mergeCell ref="B33:B35"/>
    <mergeCell ref="C33:C35"/>
    <mergeCell ref="D33:D35"/>
    <mergeCell ref="B17:B21"/>
    <mergeCell ref="C17:C21"/>
    <mergeCell ref="D17:D21"/>
    <mergeCell ref="B23:B26"/>
    <mergeCell ref="C23:C26"/>
    <mergeCell ref="D23:D26"/>
    <mergeCell ref="E23:E24"/>
    <mergeCell ref="E28:E29"/>
    <mergeCell ref="B28:B31"/>
    <mergeCell ref="C28:C31"/>
    <mergeCell ref="D28:D31"/>
  </mergeCells>
  <dataValidations count="1">
    <dataValidation type="list" allowBlank="1" showInputMessage="1" showErrorMessage="1" sqref="F11:G13 F24:G24 F29:H29 F34">
      <formula1>$F$4:$F$6</formula1>
    </dataValidation>
  </dataValidations>
  <pageMargins left="0.23622047244094491" right="0.23622047244094491" top="0.74803149606299213" bottom="0.74803149606299213" header="0.31496062992125984" footer="0.31496062992125984"/>
  <pageSetup paperSize="9" scale="53" orientation="landscape" r:id="rId1"/>
  <rowBreaks count="1" manualBreakCount="1">
    <brk id="22" max="12"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48576"/>
  <sheetViews>
    <sheetView showGridLines="0" zoomScale="80" zoomScaleNormal="80" workbookViewId="0">
      <pane ySplit="9" topLeftCell="A10" activePane="bottomLeft" state="frozen"/>
      <selection activeCell="E59" sqref="E59"/>
      <selection pane="bottomLeft" activeCell="A10" sqref="A10"/>
    </sheetView>
  </sheetViews>
  <sheetFormatPr defaultRowHeight="15" outlineLevelRow="1" outlineLevelCol="1" x14ac:dyDescent="0.25"/>
  <cols>
    <col min="1" max="1" width="1.42578125" customWidth="1"/>
    <col min="2" max="2" width="10.5703125" bestFit="1" customWidth="1"/>
    <col min="3" max="3" width="17.140625" style="1" customWidth="1"/>
    <col min="4" max="4" width="17" customWidth="1"/>
    <col min="5" max="5" width="68.42578125" customWidth="1" outlineLevel="1"/>
    <col min="6" max="6" width="20.85546875" customWidth="1" outlineLevel="1"/>
    <col min="7" max="7" width="20.5703125" customWidth="1" outlineLevel="1"/>
    <col min="8" max="8" width="17.42578125" customWidth="1" outlineLevel="1"/>
    <col min="9" max="9" width="19" customWidth="1"/>
    <col min="10" max="10" width="1.28515625" style="87" customWidth="1"/>
    <col min="11" max="11" width="8.42578125" customWidth="1" outlineLevel="1"/>
    <col min="12" max="12" width="9.7109375" bestFit="1" customWidth="1" outlineLevel="1"/>
    <col min="13" max="13" width="63" customWidth="1" outlineLevel="1"/>
  </cols>
  <sheetData>
    <row r="1" spans="1:13" x14ac:dyDescent="0.25">
      <c r="A1" s="4" t="s">
        <v>154</v>
      </c>
      <c r="F1" s="3"/>
      <c r="G1" s="3"/>
      <c r="H1" s="3"/>
    </row>
    <row r="2" spans="1:13" x14ac:dyDescent="0.25">
      <c r="A2" s="32" t="s">
        <v>456</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261</v>
      </c>
      <c r="G6" s="143"/>
      <c r="H6" s="146"/>
    </row>
    <row r="7" spans="1:13" x14ac:dyDescent="0.25">
      <c r="A7" s="4"/>
      <c r="E7" s="140"/>
      <c r="F7" s="7" t="s">
        <v>422</v>
      </c>
      <c r="G7" s="144"/>
      <c r="H7" s="147"/>
    </row>
    <row r="9" spans="1:13" s="113" customFormat="1" ht="35.25" customHeight="1" x14ac:dyDescent="0.25">
      <c r="B9" s="114" t="s">
        <v>0</v>
      </c>
      <c r="C9" s="114" t="s">
        <v>2</v>
      </c>
      <c r="D9" s="114" t="s">
        <v>6</v>
      </c>
      <c r="E9" s="114" t="s">
        <v>11</v>
      </c>
      <c r="F9" s="141" t="s">
        <v>12</v>
      </c>
      <c r="G9" s="141"/>
      <c r="H9" s="141"/>
      <c r="I9" s="115" t="s">
        <v>13</v>
      </c>
      <c r="J9" s="111"/>
      <c r="K9" s="115" t="s">
        <v>19</v>
      </c>
      <c r="L9" s="114" t="s">
        <v>4</v>
      </c>
      <c r="M9" s="114" t="s">
        <v>25</v>
      </c>
    </row>
    <row r="10" spans="1:13" ht="105" outlineLevel="1" x14ac:dyDescent="0.25">
      <c r="B10" s="133" t="s">
        <v>455</v>
      </c>
      <c r="C10" s="125" t="s">
        <v>405</v>
      </c>
      <c r="D10" s="133" t="s">
        <v>7</v>
      </c>
      <c r="E10" s="16" t="s">
        <v>672</v>
      </c>
      <c r="F10" s="43" t="s">
        <v>8</v>
      </c>
      <c r="G10" s="43" t="s">
        <v>9</v>
      </c>
      <c r="H10" s="8" t="s">
        <v>14</v>
      </c>
      <c r="I10" s="43" t="s">
        <v>40</v>
      </c>
      <c r="J10" s="88" t="s">
        <v>906</v>
      </c>
      <c r="K10" s="8" t="s">
        <v>17</v>
      </c>
      <c r="L10" s="15">
        <v>1</v>
      </c>
      <c r="M10" s="16" t="s">
        <v>673</v>
      </c>
    </row>
    <row r="11" spans="1:13" ht="105" outlineLevel="1" x14ac:dyDescent="0.25">
      <c r="B11" s="133"/>
      <c r="C11" s="125"/>
      <c r="D11" s="133"/>
      <c r="E11" s="20" t="s">
        <v>454</v>
      </c>
      <c r="F11" s="22"/>
      <c r="G11" s="22"/>
      <c r="H11" s="15" t="s">
        <v>14</v>
      </c>
      <c r="I11" s="9" t="s">
        <v>14</v>
      </c>
      <c r="J11" s="88" t="s">
        <v>907</v>
      </c>
      <c r="K11" s="8" t="s">
        <v>17</v>
      </c>
      <c r="L11" s="15">
        <v>2</v>
      </c>
      <c r="M11" s="16" t="s">
        <v>674</v>
      </c>
    </row>
    <row r="12" spans="1:13" ht="84.75" customHeight="1" outlineLevel="1" x14ac:dyDescent="0.25">
      <c r="B12" s="133"/>
      <c r="C12" s="125"/>
      <c r="D12" s="133"/>
      <c r="E12" s="20" t="s">
        <v>453</v>
      </c>
      <c r="F12" s="22"/>
      <c r="G12" s="22"/>
      <c r="H12" s="15" t="s">
        <v>14</v>
      </c>
      <c r="I12" s="11" t="s">
        <v>14</v>
      </c>
      <c r="J12" s="88" t="s">
        <v>908</v>
      </c>
      <c r="K12" s="8" t="s">
        <v>18</v>
      </c>
      <c r="L12" s="15">
        <v>3</v>
      </c>
      <c r="M12" s="16" t="s">
        <v>675</v>
      </c>
    </row>
    <row r="13" spans="1:13" ht="30" outlineLevel="1" x14ac:dyDescent="0.25">
      <c r="B13" s="133"/>
      <c r="C13" s="125"/>
      <c r="D13" s="133"/>
      <c r="E13" s="20" t="s">
        <v>452</v>
      </c>
      <c r="F13" s="22"/>
      <c r="G13" s="22"/>
      <c r="H13" s="8" t="s">
        <v>14</v>
      </c>
      <c r="I13" s="11" t="s">
        <v>14</v>
      </c>
    </row>
    <row r="14" spans="1:13" ht="30" outlineLevel="1" x14ac:dyDescent="0.25">
      <c r="B14" s="133"/>
      <c r="C14" s="125"/>
      <c r="D14" s="133"/>
      <c r="E14" s="20" t="s">
        <v>451</v>
      </c>
      <c r="F14" s="22"/>
      <c r="G14" s="22"/>
      <c r="H14" s="8" t="s">
        <v>14</v>
      </c>
      <c r="I14" s="9" t="s">
        <v>14</v>
      </c>
      <c r="J14" s="89"/>
      <c r="K14" s="1"/>
      <c r="L14" s="3"/>
      <c r="M14" s="2"/>
    </row>
    <row r="15" spans="1:13" outlineLevel="1" x14ac:dyDescent="0.25">
      <c r="B15" s="133"/>
      <c r="C15" s="125"/>
      <c r="D15" s="133"/>
      <c r="E15" s="18" t="s">
        <v>24</v>
      </c>
      <c r="F15" s="12">
        <f>COUNTIF(F11:F14,"Sim")</f>
        <v>0</v>
      </c>
      <c r="G15" s="12">
        <f>COUNTIF(G11:G14,"Sim")</f>
        <v>0</v>
      </c>
      <c r="H15" s="11" t="s">
        <v>14</v>
      </c>
      <c r="I15" s="9" t="s">
        <v>14</v>
      </c>
      <c r="J15" s="89"/>
      <c r="K15" s="1"/>
      <c r="L15" s="3"/>
      <c r="M15" s="2"/>
    </row>
    <row r="16" spans="1:13" x14ac:dyDescent="0.25">
      <c r="A16" s="94" t="str">
        <f>B10</f>
        <v>MP073</v>
      </c>
      <c r="B16" s="133"/>
      <c r="C16" s="125"/>
      <c r="D16" s="133"/>
      <c r="E16" s="19" t="s">
        <v>22</v>
      </c>
      <c r="F16" s="13" t="str">
        <f>IF(F15=4,"Nível 2 ou 3","Nível 1")</f>
        <v>Nível 1</v>
      </c>
      <c r="G16" s="13" t="str">
        <f>IF(SUM(F15:G15)=8,"Nível 3","Nível 2")</f>
        <v>Nível 2</v>
      </c>
      <c r="H16" s="8" t="s">
        <v>14</v>
      </c>
      <c r="I16" s="14" t="str">
        <f>IF(F16="Nível 1",F16,G16)</f>
        <v>Nível 1</v>
      </c>
      <c r="L16" s="6"/>
      <c r="M16" s="2"/>
    </row>
    <row r="17" spans="1:13" x14ac:dyDescent="0.25">
      <c r="A17" s="94"/>
    </row>
    <row r="18" spans="1:13" ht="105" outlineLevel="1" x14ac:dyDescent="0.25">
      <c r="A18" s="94"/>
      <c r="B18" s="133" t="s">
        <v>450</v>
      </c>
      <c r="C18" s="125" t="s">
        <v>405</v>
      </c>
      <c r="D18" s="133" t="s">
        <v>7</v>
      </c>
      <c r="E18" s="16" t="s">
        <v>678</v>
      </c>
      <c r="F18" s="43" t="s">
        <v>449</v>
      </c>
      <c r="G18" s="43" t="s">
        <v>676</v>
      </c>
      <c r="H18" s="8" t="s">
        <v>14</v>
      </c>
      <c r="I18" s="43" t="s">
        <v>40</v>
      </c>
      <c r="J18" s="109" t="s">
        <v>909</v>
      </c>
      <c r="K18" s="8" t="s">
        <v>17</v>
      </c>
      <c r="L18" s="15">
        <v>1</v>
      </c>
      <c r="M18" s="16" t="s">
        <v>677</v>
      </c>
    </row>
    <row r="19" spans="1:13" ht="105" outlineLevel="1" x14ac:dyDescent="0.25">
      <c r="A19" s="94"/>
      <c r="B19" s="133"/>
      <c r="C19" s="125"/>
      <c r="D19" s="133"/>
      <c r="E19" s="20" t="s">
        <v>448</v>
      </c>
      <c r="F19" s="22"/>
      <c r="G19" s="22"/>
      <c r="H19" s="8" t="s">
        <v>14</v>
      </c>
      <c r="I19" s="15" t="s">
        <v>14</v>
      </c>
      <c r="J19" s="109" t="s">
        <v>910</v>
      </c>
      <c r="K19" s="8" t="s">
        <v>18</v>
      </c>
      <c r="L19" s="15">
        <v>2</v>
      </c>
      <c r="M19" s="16" t="s">
        <v>679</v>
      </c>
    </row>
    <row r="20" spans="1:13" outlineLevel="1" x14ac:dyDescent="0.25">
      <c r="A20" s="94"/>
      <c r="B20" s="133"/>
      <c r="C20" s="125"/>
      <c r="D20" s="133"/>
      <c r="E20" s="21" t="s">
        <v>447</v>
      </c>
      <c r="F20" s="22"/>
      <c r="G20" s="22"/>
      <c r="H20" s="8" t="s">
        <v>14</v>
      </c>
      <c r="I20" s="15" t="s">
        <v>14</v>
      </c>
    </row>
    <row r="21" spans="1:13" outlineLevel="1" x14ac:dyDescent="0.25">
      <c r="A21" s="94"/>
      <c r="B21" s="133"/>
      <c r="C21" s="125"/>
      <c r="D21" s="133"/>
      <c r="E21" s="21" t="s">
        <v>446</v>
      </c>
      <c r="F21" s="22"/>
      <c r="G21" s="22"/>
      <c r="H21" s="8" t="s">
        <v>14</v>
      </c>
      <c r="I21" s="8" t="s">
        <v>14</v>
      </c>
    </row>
    <row r="22" spans="1:13" ht="30" outlineLevel="1" x14ac:dyDescent="0.25">
      <c r="A22" s="94"/>
      <c r="B22" s="133"/>
      <c r="C22" s="125"/>
      <c r="D22" s="133"/>
      <c r="E22" s="20" t="s">
        <v>445</v>
      </c>
      <c r="F22" s="22"/>
      <c r="G22" s="22"/>
      <c r="H22" s="8" t="s">
        <v>14</v>
      </c>
      <c r="I22" s="8" t="s">
        <v>14</v>
      </c>
    </row>
    <row r="23" spans="1:13" outlineLevel="1" x14ac:dyDescent="0.25">
      <c r="A23" s="94"/>
      <c r="B23" s="133"/>
      <c r="C23" s="125"/>
      <c r="D23" s="133"/>
      <c r="E23" s="18" t="s">
        <v>24</v>
      </c>
      <c r="F23" s="23">
        <f>COUNTIF(F19:F22,"Sim")</f>
        <v>0</v>
      </c>
      <c r="G23" s="23">
        <f>COUNTIF(G19:G22,"Sim")</f>
        <v>0</v>
      </c>
      <c r="H23" s="8" t="s">
        <v>14</v>
      </c>
      <c r="I23" s="8" t="s">
        <v>14</v>
      </c>
    </row>
    <row r="24" spans="1:13" x14ac:dyDescent="0.25">
      <c r="A24" s="94" t="str">
        <f>B18</f>
        <v>MP074</v>
      </c>
      <c r="B24" s="133"/>
      <c r="C24" s="125"/>
      <c r="D24" s="133"/>
      <c r="E24" s="19" t="s">
        <v>22</v>
      </c>
      <c r="F24" s="24" t="str">
        <f>IF(F23=4,"Nível 2 ou 3","Nível 1")</f>
        <v>Nível 1</v>
      </c>
      <c r="G24" s="24" t="str">
        <f>IF(SUM(F23:G23)=8,"Nível 3","Nível 2")</f>
        <v>Nível 2</v>
      </c>
      <c r="H24" s="8" t="s">
        <v>14</v>
      </c>
      <c r="I24" s="25" t="str">
        <f>IF(F24="Nível 1",F24,G24)</f>
        <v>Nível 1</v>
      </c>
    </row>
    <row r="25" spans="1:13" x14ac:dyDescent="0.25">
      <c r="A25" s="94"/>
    </row>
    <row r="26" spans="1:13" ht="45" outlineLevel="1" x14ac:dyDescent="0.25">
      <c r="A26" s="94"/>
      <c r="B26" s="133" t="s">
        <v>444</v>
      </c>
      <c r="C26" s="125" t="s">
        <v>405</v>
      </c>
      <c r="D26" s="133" t="s">
        <v>7</v>
      </c>
      <c r="E26" s="131" t="s">
        <v>443</v>
      </c>
      <c r="F26" s="43" t="s">
        <v>442</v>
      </c>
      <c r="G26" s="8" t="s">
        <v>14</v>
      </c>
      <c r="H26" s="15" t="s">
        <v>14</v>
      </c>
      <c r="I26" s="43" t="s">
        <v>40</v>
      </c>
      <c r="J26" s="93" t="s">
        <v>911</v>
      </c>
      <c r="K26" s="8" t="s">
        <v>17</v>
      </c>
      <c r="L26" s="15">
        <v>1</v>
      </c>
      <c r="M26" s="16" t="s">
        <v>680</v>
      </c>
    </row>
    <row r="27" spans="1:13" outlineLevel="1" x14ac:dyDescent="0.25">
      <c r="A27" s="94"/>
      <c r="B27" s="133"/>
      <c r="C27" s="125"/>
      <c r="D27" s="133"/>
      <c r="E27" s="132"/>
      <c r="F27" s="22"/>
      <c r="G27" s="8" t="s">
        <v>14</v>
      </c>
      <c r="H27" s="8" t="s">
        <v>14</v>
      </c>
      <c r="I27" s="8" t="s">
        <v>14</v>
      </c>
    </row>
    <row r="28" spans="1:13" x14ac:dyDescent="0.25">
      <c r="A28" s="94" t="str">
        <f>B26</f>
        <v>MP075</v>
      </c>
      <c r="B28" s="133"/>
      <c r="C28" s="125"/>
      <c r="D28" s="133"/>
      <c r="E28" s="19" t="s">
        <v>22</v>
      </c>
      <c r="F28" s="24" t="str">
        <f>IF(F27="Sim","Nível 3","Nível 1")</f>
        <v>Nível 1</v>
      </c>
      <c r="G28" s="8" t="s">
        <v>14</v>
      </c>
      <c r="H28" s="8" t="s">
        <v>14</v>
      </c>
      <c r="I28" s="25" t="str">
        <f>F28</f>
        <v>Nível 1</v>
      </c>
    </row>
    <row r="29" spans="1:13" x14ac:dyDescent="0.25">
      <c r="A29" s="94"/>
    </row>
    <row r="30" spans="1:13" ht="125.25" customHeight="1" outlineLevel="1" x14ac:dyDescent="0.25">
      <c r="A30" s="94"/>
      <c r="B30" s="134" t="s">
        <v>441</v>
      </c>
      <c r="C30" s="150" t="s">
        <v>405</v>
      </c>
      <c r="D30" s="134" t="s">
        <v>82</v>
      </c>
      <c r="E30" s="16" t="s">
        <v>440</v>
      </c>
      <c r="F30" s="43" t="s">
        <v>439</v>
      </c>
      <c r="G30" s="8" t="s">
        <v>14</v>
      </c>
      <c r="H30" s="8" t="s">
        <v>14</v>
      </c>
      <c r="I30" s="43" t="s">
        <v>40</v>
      </c>
      <c r="J30" s="87" t="s">
        <v>912</v>
      </c>
      <c r="K30" s="8" t="s">
        <v>17</v>
      </c>
      <c r="L30" s="15">
        <v>1</v>
      </c>
      <c r="M30" s="16" t="s">
        <v>681</v>
      </c>
    </row>
    <row r="31" spans="1:13" ht="30" outlineLevel="1" x14ac:dyDescent="0.25">
      <c r="A31" s="94"/>
      <c r="B31" s="135"/>
      <c r="C31" s="151"/>
      <c r="D31" s="135"/>
      <c r="E31" s="71" t="s">
        <v>403</v>
      </c>
      <c r="F31" s="22"/>
      <c r="G31" s="8" t="s">
        <v>14</v>
      </c>
      <c r="H31" s="8" t="s">
        <v>14</v>
      </c>
      <c r="I31" s="8" t="s">
        <v>14</v>
      </c>
      <c r="J31" s="87" t="s">
        <v>913</v>
      </c>
      <c r="K31" s="8" t="s">
        <v>17</v>
      </c>
      <c r="L31" s="15">
        <v>2</v>
      </c>
      <c r="M31" s="16" t="s">
        <v>682</v>
      </c>
    </row>
    <row r="32" spans="1:13" ht="30" x14ac:dyDescent="0.25">
      <c r="A32" s="94" t="str">
        <f>B30</f>
        <v>MP076</v>
      </c>
      <c r="B32" s="136"/>
      <c r="C32" s="152"/>
      <c r="D32" s="136"/>
      <c r="E32" s="19" t="s">
        <v>22</v>
      </c>
      <c r="F32" s="48" t="str">
        <f>IF(F31="Sim","Nível 3",(IF(F31="Parcialmente","Nível 2","Nível 1")))</f>
        <v>Nível 1</v>
      </c>
      <c r="G32" s="8" t="s">
        <v>14</v>
      </c>
      <c r="H32" s="8" t="s">
        <v>14</v>
      </c>
      <c r="I32" s="25" t="str">
        <f>+F32</f>
        <v>Nível 1</v>
      </c>
      <c r="J32" s="87" t="s">
        <v>914</v>
      </c>
      <c r="K32" s="8" t="s">
        <v>18</v>
      </c>
      <c r="L32" s="15">
        <v>3</v>
      </c>
      <c r="M32" s="16" t="s">
        <v>683</v>
      </c>
    </row>
    <row r="33" spans="1:13" x14ac:dyDescent="0.25">
      <c r="A33" s="94"/>
    </row>
    <row r="34" spans="1:13" ht="87.75" customHeight="1" outlineLevel="1" x14ac:dyDescent="0.25">
      <c r="A34" s="94"/>
      <c r="B34" s="134" t="s">
        <v>438</v>
      </c>
      <c r="C34" s="150" t="s">
        <v>405</v>
      </c>
      <c r="D34" s="134" t="s">
        <v>82</v>
      </c>
      <c r="E34" s="16" t="s">
        <v>437</v>
      </c>
      <c r="F34" s="43" t="s">
        <v>436</v>
      </c>
      <c r="G34" s="8" t="s">
        <v>14</v>
      </c>
      <c r="H34" s="8" t="s">
        <v>14</v>
      </c>
      <c r="I34" s="43" t="s">
        <v>40</v>
      </c>
      <c r="J34" s="87" t="s">
        <v>915</v>
      </c>
      <c r="K34" s="8" t="s">
        <v>17</v>
      </c>
      <c r="L34" s="15">
        <v>1</v>
      </c>
      <c r="M34" s="16" t="s">
        <v>686</v>
      </c>
    </row>
    <row r="35" spans="1:13" ht="45" outlineLevel="1" x14ac:dyDescent="0.25">
      <c r="A35" s="94"/>
      <c r="B35" s="135"/>
      <c r="C35" s="151"/>
      <c r="D35" s="135"/>
      <c r="E35" s="71" t="s">
        <v>423</v>
      </c>
      <c r="F35" s="22"/>
      <c r="G35" s="8" t="s">
        <v>14</v>
      </c>
      <c r="H35" s="8" t="s">
        <v>14</v>
      </c>
      <c r="I35" s="8" t="s">
        <v>14</v>
      </c>
      <c r="J35" s="87" t="s">
        <v>916</v>
      </c>
      <c r="K35" s="8" t="s">
        <v>17</v>
      </c>
      <c r="L35" s="15">
        <v>2</v>
      </c>
      <c r="M35" s="16" t="s">
        <v>687</v>
      </c>
    </row>
    <row r="36" spans="1:13" ht="56.25" customHeight="1" x14ac:dyDescent="0.25">
      <c r="A36" s="94" t="str">
        <f>B34</f>
        <v>MP077</v>
      </c>
      <c r="B36" s="136"/>
      <c r="C36" s="152"/>
      <c r="D36" s="136"/>
      <c r="E36" s="19" t="s">
        <v>22</v>
      </c>
      <c r="F36" s="48" t="str">
        <f>IF(F35="Sim","Nível 3",(IF(F35="Parcialmente","Nível 2",(IF(F35="Não aplicável", "Não aplicável","Nível 1")))))</f>
        <v>Nível 1</v>
      </c>
      <c r="G36" s="8" t="s">
        <v>14</v>
      </c>
      <c r="H36" s="8" t="s">
        <v>14</v>
      </c>
      <c r="I36" s="25" t="str">
        <f>+F36</f>
        <v>Nível 1</v>
      </c>
      <c r="J36" s="87" t="s">
        <v>917</v>
      </c>
      <c r="K36" s="8" t="s">
        <v>18</v>
      </c>
      <c r="L36" s="15">
        <v>3</v>
      </c>
      <c r="M36" s="16" t="s">
        <v>688</v>
      </c>
    </row>
    <row r="37" spans="1:13" x14ac:dyDescent="0.25">
      <c r="A37" s="94"/>
    </row>
    <row r="38" spans="1:13" ht="87.75" customHeight="1" outlineLevel="1" x14ac:dyDescent="0.25">
      <c r="A38" s="94"/>
      <c r="B38" s="134" t="s">
        <v>435</v>
      </c>
      <c r="C38" s="150" t="s">
        <v>405</v>
      </c>
      <c r="D38" s="134" t="s">
        <v>82</v>
      </c>
      <c r="E38" s="16" t="s">
        <v>434</v>
      </c>
      <c r="F38" s="43" t="s">
        <v>433</v>
      </c>
      <c r="G38" s="8" t="s">
        <v>14</v>
      </c>
      <c r="H38" s="8" t="s">
        <v>14</v>
      </c>
      <c r="I38" s="43" t="s">
        <v>40</v>
      </c>
      <c r="J38" s="87" t="s">
        <v>919</v>
      </c>
      <c r="K38" s="8" t="s">
        <v>17</v>
      </c>
      <c r="L38" s="15">
        <v>1</v>
      </c>
      <c r="M38" s="16" t="s">
        <v>689</v>
      </c>
    </row>
    <row r="39" spans="1:13" ht="46.5" customHeight="1" outlineLevel="1" x14ac:dyDescent="0.25">
      <c r="A39" s="94"/>
      <c r="B39" s="135"/>
      <c r="C39" s="151"/>
      <c r="D39" s="135"/>
      <c r="E39" s="71" t="s">
        <v>423</v>
      </c>
      <c r="F39" s="22"/>
      <c r="G39" s="8" t="s">
        <v>14</v>
      </c>
      <c r="H39" s="8" t="s">
        <v>14</v>
      </c>
      <c r="I39" s="8" t="s">
        <v>14</v>
      </c>
      <c r="J39" s="87" t="s">
        <v>920</v>
      </c>
      <c r="K39" s="8" t="s">
        <v>17</v>
      </c>
      <c r="L39" s="15">
        <v>2</v>
      </c>
      <c r="M39" s="16" t="s">
        <v>690</v>
      </c>
    </row>
    <row r="40" spans="1:13" ht="50.25" customHeight="1" x14ac:dyDescent="0.25">
      <c r="A40" s="94" t="str">
        <f>B38</f>
        <v>MP078</v>
      </c>
      <c r="B40" s="136"/>
      <c r="C40" s="152"/>
      <c r="D40" s="136"/>
      <c r="E40" s="19" t="s">
        <v>22</v>
      </c>
      <c r="F40" s="48" t="str">
        <f>IF(F39="Sim","Nível 3",(IF(F39="Parcialmente","Nível 2",(IF(F39="Não aplicável", "Não aplicável","Nível 1")))))</f>
        <v>Nível 1</v>
      </c>
      <c r="G40" s="8" t="s">
        <v>14</v>
      </c>
      <c r="H40" s="8" t="s">
        <v>14</v>
      </c>
      <c r="I40" s="25" t="str">
        <f>+F40</f>
        <v>Nível 1</v>
      </c>
      <c r="J40" s="87" t="s">
        <v>918</v>
      </c>
      <c r="K40" s="8" t="s">
        <v>18</v>
      </c>
      <c r="L40" s="15">
        <v>3</v>
      </c>
      <c r="M40" s="16" t="s">
        <v>691</v>
      </c>
    </row>
    <row r="41" spans="1:13" x14ac:dyDescent="0.25">
      <c r="A41" s="94"/>
    </row>
    <row r="42" spans="1:13" ht="45" outlineLevel="1" x14ac:dyDescent="0.25">
      <c r="A42" s="94"/>
      <c r="B42" s="134" t="s">
        <v>432</v>
      </c>
      <c r="C42" s="150" t="s">
        <v>405</v>
      </c>
      <c r="D42" s="134" t="s">
        <v>82</v>
      </c>
      <c r="E42" s="16" t="s">
        <v>431</v>
      </c>
      <c r="F42" s="43" t="s">
        <v>430</v>
      </c>
      <c r="G42" s="8" t="s">
        <v>14</v>
      </c>
      <c r="H42" s="8" t="s">
        <v>14</v>
      </c>
      <c r="I42" s="43" t="s">
        <v>40</v>
      </c>
      <c r="J42" s="87" t="s">
        <v>921</v>
      </c>
      <c r="K42" s="8" t="s">
        <v>17</v>
      </c>
      <c r="L42" s="15">
        <v>1</v>
      </c>
      <c r="M42" s="16" t="s">
        <v>692</v>
      </c>
    </row>
    <row r="43" spans="1:13" ht="37.5" customHeight="1" outlineLevel="1" x14ac:dyDescent="0.25">
      <c r="A43" s="94"/>
      <c r="B43" s="135"/>
      <c r="C43" s="151"/>
      <c r="D43" s="135"/>
      <c r="E43" s="71" t="s">
        <v>423</v>
      </c>
      <c r="F43" s="22"/>
      <c r="G43" s="8" t="s">
        <v>14</v>
      </c>
      <c r="H43" s="8" t="s">
        <v>14</v>
      </c>
      <c r="I43" s="8" t="s">
        <v>14</v>
      </c>
      <c r="J43" s="87" t="s">
        <v>922</v>
      </c>
      <c r="K43" s="8" t="s">
        <v>17</v>
      </c>
      <c r="L43" s="15">
        <v>2</v>
      </c>
      <c r="M43" s="16" t="s">
        <v>693</v>
      </c>
    </row>
    <row r="44" spans="1:13" ht="41.25" customHeight="1" x14ac:dyDescent="0.25">
      <c r="A44" s="94" t="str">
        <f>B42</f>
        <v>MP079</v>
      </c>
      <c r="B44" s="136"/>
      <c r="C44" s="152"/>
      <c r="D44" s="136"/>
      <c r="E44" s="19" t="s">
        <v>22</v>
      </c>
      <c r="F44" s="48" t="str">
        <f>IF(F39="Sim","Nível 3",(IF(F39="Parcialmente","Nível 2",(IF(F39="Não aplicável", "Não aplicável","Nível 1")))))</f>
        <v>Nível 1</v>
      </c>
      <c r="G44" s="8" t="s">
        <v>14</v>
      </c>
      <c r="H44" s="8" t="s">
        <v>14</v>
      </c>
      <c r="I44" s="25" t="str">
        <f>+F44</f>
        <v>Nível 1</v>
      </c>
      <c r="J44" s="87" t="s">
        <v>923</v>
      </c>
      <c r="K44" s="8" t="s">
        <v>18</v>
      </c>
      <c r="L44" s="15">
        <v>3</v>
      </c>
      <c r="M44" s="16" t="s">
        <v>694</v>
      </c>
    </row>
    <row r="45" spans="1:13" x14ac:dyDescent="0.25">
      <c r="A45" s="94"/>
    </row>
    <row r="46" spans="1:13" ht="60" outlineLevel="1" x14ac:dyDescent="0.25">
      <c r="A46" s="94"/>
      <c r="B46" s="134" t="s">
        <v>429</v>
      </c>
      <c r="C46" s="150" t="s">
        <v>405</v>
      </c>
      <c r="D46" s="134" t="s">
        <v>82</v>
      </c>
      <c r="E46" s="16" t="s">
        <v>428</v>
      </c>
      <c r="F46" s="43" t="s">
        <v>427</v>
      </c>
      <c r="G46" s="8" t="s">
        <v>14</v>
      </c>
      <c r="H46" s="8" t="s">
        <v>14</v>
      </c>
      <c r="I46" s="43" t="s">
        <v>40</v>
      </c>
      <c r="J46" s="87" t="s">
        <v>924</v>
      </c>
      <c r="K46" s="8" t="s">
        <v>17</v>
      </c>
      <c r="L46" s="15">
        <v>1</v>
      </c>
      <c r="M46" s="16" t="s">
        <v>695</v>
      </c>
    </row>
    <row r="47" spans="1:13" ht="30" outlineLevel="1" x14ac:dyDescent="0.25">
      <c r="A47" s="94"/>
      <c r="B47" s="135"/>
      <c r="C47" s="151"/>
      <c r="D47" s="135"/>
      <c r="E47" s="71" t="s">
        <v>423</v>
      </c>
      <c r="F47" s="22"/>
      <c r="G47" s="8" t="s">
        <v>14</v>
      </c>
      <c r="H47" s="8" t="s">
        <v>14</v>
      </c>
      <c r="I47" s="8" t="s">
        <v>14</v>
      </c>
      <c r="J47" s="87" t="s">
        <v>925</v>
      </c>
      <c r="K47" s="8" t="s">
        <v>17</v>
      </c>
      <c r="L47" s="15">
        <v>2</v>
      </c>
      <c r="M47" s="16" t="s">
        <v>696</v>
      </c>
    </row>
    <row r="48" spans="1:13" ht="30" x14ac:dyDescent="0.25">
      <c r="A48" s="94" t="str">
        <f>B46</f>
        <v>MP080</v>
      </c>
      <c r="B48" s="136"/>
      <c r="C48" s="152"/>
      <c r="D48" s="136"/>
      <c r="E48" s="19" t="s">
        <v>22</v>
      </c>
      <c r="F48" s="48" t="str">
        <f>IF(F47="Sim","Nível 3",(IF(F47="Parcialmente","Nível 2",(IF(F47="Não aplicável", "Não aplicável","Nível 1")))))</f>
        <v>Nível 1</v>
      </c>
      <c r="G48" s="8" t="s">
        <v>14</v>
      </c>
      <c r="H48" s="8" t="s">
        <v>14</v>
      </c>
      <c r="I48" s="25" t="str">
        <f>+F48</f>
        <v>Nível 1</v>
      </c>
      <c r="J48" s="87" t="s">
        <v>926</v>
      </c>
      <c r="K48" s="8" t="s">
        <v>18</v>
      </c>
      <c r="L48" s="15">
        <v>3</v>
      </c>
      <c r="M48" s="16" t="s">
        <v>697</v>
      </c>
    </row>
    <row r="49" spans="1:13" x14ac:dyDescent="0.25">
      <c r="A49" s="94"/>
    </row>
    <row r="50" spans="1:13" ht="60" outlineLevel="1" x14ac:dyDescent="0.25">
      <c r="A50" s="94"/>
      <c r="B50" s="134" t="s">
        <v>426</v>
      </c>
      <c r="C50" s="150" t="s">
        <v>405</v>
      </c>
      <c r="D50" s="134" t="s">
        <v>82</v>
      </c>
      <c r="E50" s="16" t="s">
        <v>425</v>
      </c>
      <c r="F50" s="43" t="s">
        <v>424</v>
      </c>
      <c r="G50" s="8" t="s">
        <v>14</v>
      </c>
      <c r="H50" s="8" t="s">
        <v>14</v>
      </c>
      <c r="I50" s="43" t="s">
        <v>40</v>
      </c>
      <c r="J50" s="87" t="s">
        <v>928</v>
      </c>
      <c r="K50" s="8" t="s">
        <v>17</v>
      </c>
      <c r="L50" s="15">
        <v>1</v>
      </c>
      <c r="M50" s="16" t="s">
        <v>698</v>
      </c>
    </row>
    <row r="51" spans="1:13" ht="57.75" customHeight="1" outlineLevel="1" x14ac:dyDescent="0.25">
      <c r="A51" s="94"/>
      <c r="B51" s="135"/>
      <c r="C51" s="151"/>
      <c r="D51" s="135"/>
      <c r="E51" s="71" t="s">
        <v>423</v>
      </c>
      <c r="F51" s="22"/>
      <c r="G51" s="8" t="s">
        <v>14</v>
      </c>
      <c r="H51" s="8" t="s">
        <v>14</v>
      </c>
      <c r="I51" s="8" t="s">
        <v>14</v>
      </c>
      <c r="J51" s="87" t="s">
        <v>929</v>
      </c>
      <c r="K51" s="8" t="s">
        <v>17</v>
      </c>
      <c r="L51" s="15">
        <v>2</v>
      </c>
      <c r="M51" s="16" t="s">
        <v>699</v>
      </c>
    </row>
    <row r="52" spans="1:13" ht="30" x14ac:dyDescent="0.25">
      <c r="A52" s="94" t="str">
        <f>B50</f>
        <v>MP081</v>
      </c>
      <c r="B52" s="136"/>
      <c r="C52" s="152"/>
      <c r="D52" s="136"/>
      <c r="E52" s="19" t="s">
        <v>22</v>
      </c>
      <c r="F52" s="48" t="str">
        <f>IF(F51="Sim","Nível 3",(IF(F51="Parcialmente","Nível 2",(IF(F51="Não aplicável", "Não aplicável","Nível 1")))))</f>
        <v>Nível 1</v>
      </c>
      <c r="G52" s="8" t="s">
        <v>14</v>
      </c>
      <c r="H52" s="8" t="s">
        <v>14</v>
      </c>
      <c r="I52" s="25" t="str">
        <f>+F52</f>
        <v>Nível 1</v>
      </c>
      <c r="J52" s="87" t="s">
        <v>927</v>
      </c>
      <c r="K52" s="8" t="s">
        <v>18</v>
      </c>
      <c r="L52" s="15">
        <v>3</v>
      </c>
      <c r="M52" s="16" t="s">
        <v>700</v>
      </c>
    </row>
    <row r="53" spans="1:13" x14ac:dyDescent="0.25">
      <c r="A53" s="94"/>
    </row>
    <row r="54" spans="1:13" ht="159" customHeight="1" outlineLevel="1" x14ac:dyDescent="0.25">
      <c r="A54" s="94"/>
      <c r="B54" s="134" t="s">
        <v>421</v>
      </c>
      <c r="C54" s="150" t="s">
        <v>405</v>
      </c>
      <c r="D54" s="134" t="s">
        <v>51</v>
      </c>
      <c r="E54" s="16" t="s">
        <v>420</v>
      </c>
      <c r="F54" s="43" t="s">
        <v>705</v>
      </c>
      <c r="G54" s="43" t="s">
        <v>704</v>
      </c>
      <c r="H54" s="8" t="s">
        <v>14</v>
      </c>
      <c r="I54" s="43" t="s">
        <v>40</v>
      </c>
      <c r="J54" s="109" t="s">
        <v>930</v>
      </c>
      <c r="K54" s="8" t="s">
        <v>17</v>
      </c>
      <c r="L54" s="15">
        <v>1</v>
      </c>
      <c r="M54" s="16" t="s">
        <v>701</v>
      </c>
    </row>
    <row r="55" spans="1:13" ht="105" outlineLevel="1" x14ac:dyDescent="0.25">
      <c r="A55" s="94"/>
      <c r="B55" s="135"/>
      <c r="C55" s="151"/>
      <c r="D55" s="135"/>
      <c r="E55" s="71" t="s">
        <v>403</v>
      </c>
      <c r="F55" s="22"/>
      <c r="G55" s="22"/>
      <c r="H55" s="8" t="s">
        <v>14</v>
      </c>
      <c r="I55" s="8" t="s">
        <v>14</v>
      </c>
      <c r="J55" s="109" t="s">
        <v>931</v>
      </c>
      <c r="K55" s="8" t="s">
        <v>17</v>
      </c>
      <c r="L55" s="15">
        <v>2</v>
      </c>
      <c r="M55" s="16" t="s">
        <v>702</v>
      </c>
    </row>
    <row r="56" spans="1:13" ht="105" x14ac:dyDescent="0.25">
      <c r="A56" s="94" t="str">
        <f>B54</f>
        <v>MP082</v>
      </c>
      <c r="B56" s="136"/>
      <c r="C56" s="152"/>
      <c r="D56" s="136"/>
      <c r="E56" s="19" t="s">
        <v>22</v>
      </c>
      <c r="F56" s="24" t="str">
        <f>IF(F55="Sim","Nível 2 ou 3","Nível 1")</f>
        <v>Nível 1</v>
      </c>
      <c r="G56" s="48" t="str">
        <f>IF(G55="Sim","Nível 3",(IF(G55="Parcialmente","Nível 2",(IF(G55="Não aplicável", "Não aplicável","Nível 1")))))</f>
        <v>Nível 1</v>
      </c>
      <c r="H56" s="8" t="s">
        <v>14</v>
      </c>
      <c r="I56" s="25" t="str">
        <f>IF(F56="Nível 1",F56,G56)</f>
        <v>Nível 1</v>
      </c>
      <c r="J56" s="109" t="s">
        <v>932</v>
      </c>
      <c r="K56" s="8" t="s">
        <v>18</v>
      </c>
      <c r="L56" s="15">
        <v>3</v>
      </c>
      <c r="M56" s="16" t="s">
        <v>703</v>
      </c>
    </row>
    <row r="57" spans="1:13" x14ac:dyDescent="0.25">
      <c r="A57" s="94"/>
    </row>
    <row r="58" spans="1:13" x14ac:dyDescent="0.25">
      <c r="A58" s="94"/>
    </row>
    <row r="59" spans="1:13" ht="105" outlineLevel="1" x14ac:dyDescent="0.25">
      <c r="A59" s="94"/>
      <c r="B59" s="133" t="s">
        <v>419</v>
      </c>
      <c r="C59" s="125" t="s">
        <v>405</v>
      </c>
      <c r="D59" s="133" t="s">
        <v>7</v>
      </c>
      <c r="E59" s="42" t="s">
        <v>711</v>
      </c>
      <c r="F59" s="43" t="s">
        <v>411</v>
      </c>
      <c r="G59" s="11" t="s">
        <v>14</v>
      </c>
      <c r="H59" s="11" t="s">
        <v>14</v>
      </c>
      <c r="I59" s="43" t="s">
        <v>40</v>
      </c>
      <c r="J59" s="111" t="s">
        <v>933</v>
      </c>
      <c r="K59" s="8" t="s">
        <v>17</v>
      </c>
      <c r="L59" s="15">
        <v>1</v>
      </c>
      <c r="M59" s="16" t="s">
        <v>706</v>
      </c>
    </row>
    <row r="60" spans="1:13" ht="105" outlineLevel="1" x14ac:dyDescent="0.25">
      <c r="A60" s="94"/>
      <c r="B60" s="133"/>
      <c r="C60" s="125"/>
      <c r="D60" s="133"/>
      <c r="E60" s="20" t="s">
        <v>418</v>
      </c>
      <c r="F60" s="22"/>
      <c r="G60" s="11" t="s">
        <v>14</v>
      </c>
      <c r="H60" s="11" t="s">
        <v>14</v>
      </c>
      <c r="I60" s="43"/>
      <c r="J60" s="111" t="s">
        <v>934</v>
      </c>
      <c r="K60" s="8" t="s">
        <v>18</v>
      </c>
      <c r="L60" s="15">
        <v>2</v>
      </c>
      <c r="M60" s="16" t="s">
        <v>707</v>
      </c>
    </row>
    <row r="61" spans="1:13" outlineLevel="1" x14ac:dyDescent="0.25">
      <c r="A61" s="94"/>
      <c r="B61" s="133"/>
      <c r="C61" s="125"/>
      <c r="D61" s="133"/>
      <c r="E61" s="20" t="s">
        <v>417</v>
      </c>
      <c r="F61" s="22"/>
      <c r="G61" s="11" t="s">
        <v>14</v>
      </c>
      <c r="H61" s="11" t="s">
        <v>14</v>
      </c>
      <c r="I61" s="43"/>
    </row>
    <row r="62" spans="1:13" outlineLevel="1" x14ac:dyDescent="0.25">
      <c r="A62" s="94"/>
      <c r="B62" s="133"/>
      <c r="C62" s="125"/>
      <c r="D62" s="133"/>
      <c r="E62" s="20" t="s">
        <v>416</v>
      </c>
      <c r="F62" s="22"/>
      <c r="G62" s="11" t="s">
        <v>14</v>
      </c>
      <c r="H62" s="11" t="s">
        <v>14</v>
      </c>
      <c r="I62" s="43"/>
    </row>
    <row r="63" spans="1:13" ht="30" outlineLevel="1" x14ac:dyDescent="0.25">
      <c r="A63" s="94"/>
      <c r="B63" s="133"/>
      <c r="C63" s="125"/>
      <c r="D63" s="133"/>
      <c r="E63" s="20" t="s">
        <v>415</v>
      </c>
      <c r="F63" s="22"/>
      <c r="G63" s="11" t="s">
        <v>14</v>
      </c>
      <c r="H63" s="11" t="s">
        <v>14</v>
      </c>
      <c r="I63" s="8"/>
    </row>
    <row r="64" spans="1:13" outlineLevel="1" x14ac:dyDescent="0.25">
      <c r="A64" s="94"/>
      <c r="B64" s="133"/>
      <c r="C64" s="125"/>
      <c r="D64" s="133"/>
      <c r="E64" s="20" t="s">
        <v>414</v>
      </c>
      <c r="F64" s="22"/>
      <c r="G64" s="11" t="s">
        <v>14</v>
      </c>
      <c r="H64" s="11" t="s">
        <v>14</v>
      </c>
      <c r="I64" s="8"/>
    </row>
    <row r="65" spans="1:13" outlineLevel="1" x14ac:dyDescent="0.25">
      <c r="A65" s="94"/>
      <c r="B65" s="133"/>
      <c r="C65" s="125"/>
      <c r="D65" s="133"/>
      <c r="E65" s="20" t="s">
        <v>413</v>
      </c>
      <c r="F65" s="22"/>
      <c r="G65" s="11" t="s">
        <v>14</v>
      </c>
      <c r="H65" s="11" t="s">
        <v>14</v>
      </c>
      <c r="I65" s="8"/>
    </row>
    <row r="66" spans="1:13" outlineLevel="1" x14ac:dyDescent="0.25">
      <c r="A66" s="94"/>
      <c r="B66" s="133"/>
      <c r="C66" s="125"/>
      <c r="D66" s="133"/>
      <c r="E66" s="18" t="s">
        <v>407</v>
      </c>
      <c r="F66" s="12">
        <f>COUNTIF(F60:F65,"Sim")</f>
        <v>0</v>
      </c>
      <c r="G66" s="11">
        <f>COUNTIF(F60:F65,"Não")</f>
        <v>0</v>
      </c>
      <c r="H66" s="11"/>
      <c r="I66" s="9" t="s">
        <v>14</v>
      </c>
    </row>
    <row r="67" spans="1:13" x14ac:dyDescent="0.25">
      <c r="A67" s="94" t="str">
        <f>B59</f>
        <v>MP083</v>
      </c>
      <c r="B67" s="133"/>
      <c r="C67" s="125"/>
      <c r="D67" s="133"/>
      <c r="E67" s="19" t="s">
        <v>22</v>
      </c>
      <c r="F67" s="13" t="str">
        <f>IF(F66=6,"Nível  3",IF(G66=6,"Nível 1","Nível 2"))</f>
        <v>Nível 2</v>
      </c>
      <c r="G67" s="11" t="s">
        <v>14</v>
      </c>
      <c r="H67" s="11" t="s">
        <v>14</v>
      </c>
      <c r="I67" s="14" t="str">
        <f>F67</f>
        <v>Nível 2</v>
      </c>
    </row>
    <row r="68" spans="1:13" x14ac:dyDescent="0.25">
      <c r="A68" s="94"/>
    </row>
    <row r="69" spans="1:13" ht="73.5" customHeight="1" outlineLevel="1" x14ac:dyDescent="0.25">
      <c r="A69" s="94"/>
      <c r="B69" s="133" t="s">
        <v>412</v>
      </c>
      <c r="C69" s="125" t="s">
        <v>405</v>
      </c>
      <c r="D69" s="133" t="s">
        <v>7</v>
      </c>
      <c r="E69" s="47" t="s">
        <v>710</v>
      </c>
      <c r="F69" s="43" t="s">
        <v>411</v>
      </c>
      <c r="G69" s="15" t="s">
        <v>14</v>
      </c>
      <c r="H69" s="15" t="s">
        <v>14</v>
      </c>
      <c r="I69" s="43" t="s">
        <v>40</v>
      </c>
      <c r="J69" s="87" t="s">
        <v>935</v>
      </c>
      <c r="K69" s="8" t="s">
        <v>17</v>
      </c>
      <c r="L69" s="15">
        <v>1</v>
      </c>
      <c r="M69" s="16" t="s">
        <v>708</v>
      </c>
    </row>
    <row r="70" spans="1:13" ht="47.25" customHeight="1" outlineLevel="1" x14ac:dyDescent="0.25">
      <c r="A70" s="94"/>
      <c r="B70" s="133"/>
      <c r="C70" s="125"/>
      <c r="D70" s="133"/>
      <c r="E70" s="20" t="s">
        <v>410</v>
      </c>
      <c r="F70" s="22"/>
      <c r="G70" s="15" t="s">
        <v>14</v>
      </c>
      <c r="H70" s="15" t="s">
        <v>14</v>
      </c>
      <c r="I70" s="8" t="s">
        <v>14</v>
      </c>
      <c r="J70" s="87" t="s">
        <v>936</v>
      </c>
      <c r="K70" s="8" t="s">
        <v>18</v>
      </c>
      <c r="L70" s="15">
        <v>2</v>
      </c>
      <c r="M70" s="16" t="s">
        <v>709</v>
      </c>
    </row>
    <row r="71" spans="1:13" outlineLevel="1" x14ac:dyDescent="0.25">
      <c r="A71" s="94"/>
      <c r="B71" s="133"/>
      <c r="C71" s="125"/>
      <c r="D71" s="133"/>
      <c r="E71" s="20" t="s">
        <v>409</v>
      </c>
      <c r="F71" s="22"/>
      <c r="G71" s="15"/>
      <c r="H71" s="15"/>
      <c r="I71" s="8"/>
    </row>
    <row r="72" spans="1:13" ht="34.9" customHeight="1" outlineLevel="1" x14ac:dyDescent="0.25">
      <c r="A72" s="94"/>
      <c r="B72" s="133"/>
      <c r="C72" s="125"/>
      <c r="D72" s="133"/>
      <c r="E72" s="20" t="s">
        <v>408</v>
      </c>
      <c r="F72" s="22"/>
      <c r="G72" s="15"/>
      <c r="H72" s="15"/>
      <c r="I72" s="8"/>
    </row>
    <row r="73" spans="1:13" outlineLevel="1" x14ac:dyDescent="0.25">
      <c r="A73" s="94"/>
      <c r="B73" s="133"/>
      <c r="C73" s="125"/>
      <c r="D73" s="133"/>
      <c r="E73" s="18" t="s">
        <v>407</v>
      </c>
      <c r="F73" s="12">
        <f>COUNTIF(F70:F72,"Sim")</f>
        <v>0</v>
      </c>
      <c r="G73" s="11">
        <f>COUNTIF(F70:F72,"Não")</f>
        <v>0</v>
      </c>
      <c r="H73" s="11"/>
      <c r="I73" s="9" t="s">
        <v>14</v>
      </c>
    </row>
    <row r="74" spans="1:13" x14ac:dyDescent="0.25">
      <c r="A74" s="94" t="str">
        <f>B69</f>
        <v>MP084</v>
      </c>
      <c r="B74" s="133"/>
      <c r="C74" s="125"/>
      <c r="D74" s="133"/>
      <c r="E74" s="19" t="s">
        <v>22</v>
      </c>
      <c r="F74" s="13" t="str">
        <f>IF(F73=3,"Nível  3",IF(G73=0,"Nível 1","Nível 2"))</f>
        <v>Nível 1</v>
      </c>
      <c r="G74" s="11" t="s">
        <v>14</v>
      </c>
      <c r="H74" s="11" t="s">
        <v>14</v>
      </c>
      <c r="I74" s="14" t="str">
        <f>F74</f>
        <v>Nível 1</v>
      </c>
    </row>
    <row r="75" spans="1:13" x14ac:dyDescent="0.25">
      <c r="A75" s="94"/>
    </row>
    <row r="76" spans="1:13" x14ac:dyDescent="0.25">
      <c r="A76" s="94"/>
    </row>
    <row r="77" spans="1:13" ht="105" outlineLevel="1" x14ac:dyDescent="0.25">
      <c r="A77" s="94"/>
      <c r="B77" s="134" t="s">
        <v>406</v>
      </c>
      <c r="C77" s="150" t="s">
        <v>405</v>
      </c>
      <c r="D77" s="134" t="s">
        <v>7</v>
      </c>
      <c r="E77" s="131" t="s">
        <v>714</v>
      </c>
      <c r="F77" s="43" t="s">
        <v>174</v>
      </c>
      <c r="G77" s="43" t="s">
        <v>404</v>
      </c>
      <c r="H77" s="8" t="s">
        <v>14</v>
      </c>
      <c r="I77" s="43" t="s">
        <v>40</v>
      </c>
      <c r="J77" s="109" t="s">
        <v>937</v>
      </c>
      <c r="K77" s="8" t="s">
        <v>17</v>
      </c>
      <c r="L77" s="15">
        <v>1</v>
      </c>
      <c r="M77" s="16" t="s">
        <v>712</v>
      </c>
    </row>
    <row r="78" spans="1:13" ht="105" outlineLevel="1" x14ac:dyDescent="0.25">
      <c r="A78" s="94"/>
      <c r="B78" s="135"/>
      <c r="C78" s="151"/>
      <c r="D78" s="135"/>
      <c r="E78" s="132"/>
      <c r="F78" s="22"/>
      <c r="G78" s="22"/>
      <c r="H78" s="8" t="s">
        <v>14</v>
      </c>
      <c r="I78" s="8" t="s">
        <v>14</v>
      </c>
      <c r="J78" s="109" t="s">
        <v>938</v>
      </c>
      <c r="K78" s="8" t="s">
        <v>18</v>
      </c>
      <c r="L78" s="15">
        <v>2</v>
      </c>
      <c r="M78" s="16" t="s">
        <v>713</v>
      </c>
    </row>
    <row r="79" spans="1:13" x14ac:dyDescent="0.25">
      <c r="A79" s="94" t="str">
        <f>B77</f>
        <v>MP085</v>
      </c>
      <c r="B79" s="136"/>
      <c r="C79" s="152"/>
      <c r="D79" s="136"/>
      <c r="E79" s="19" t="s">
        <v>22</v>
      </c>
      <c r="F79" s="24" t="str">
        <f>IF(F78="Sim","Nível 2 ou 3","Nível 1")</f>
        <v>Nível 1</v>
      </c>
      <c r="G79" s="24" t="str">
        <f>IF(G78="Sim","Nível 3","Nível 2 ")</f>
        <v xml:space="preserve">Nível 2 </v>
      </c>
      <c r="H79" s="8" t="s">
        <v>14</v>
      </c>
      <c r="I79" s="25" t="str">
        <f>IF(F79="Nível 1",F79,G79)</f>
        <v>Nível 1</v>
      </c>
    </row>
    <row r="1048576" spans="10:10" x14ac:dyDescent="0.25">
      <c r="J1048576" s="111"/>
    </row>
  </sheetData>
  <mergeCells count="46">
    <mergeCell ref="E77:E78"/>
    <mergeCell ref="E26:E27"/>
    <mergeCell ref="B34:B36"/>
    <mergeCell ref="C34:C36"/>
    <mergeCell ref="D34:D36"/>
    <mergeCell ref="B26:B28"/>
    <mergeCell ref="C26:C28"/>
    <mergeCell ref="D26:D28"/>
    <mergeCell ref="D30:D32"/>
    <mergeCell ref="C30:C32"/>
    <mergeCell ref="B30:B32"/>
    <mergeCell ref="B69:B74"/>
    <mergeCell ref="C69:C74"/>
    <mergeCell ref="D69:D74"/>
    <mergeCell ref="B77:B79"/>
    <mergeCell ref="C77:C79"/>
    <mergeCell ref="D77:D79"/>
    <mergeCell ref="F2:H2"/>
    <mergeCell ref="B18:B24"/>
    <mergeCell ref="C18:C24"/>
    <mergeCell ref="D18:D24"/>
    <mergeCell ref="E4:E7"/>
    <mergeCell ref="F9:H9"/>
    <mergeCell ref="B10:B16"/>
    <mergeCell ref="C10:C16"/>
    <mergeCell ref="D10:D16"/>
    <mergeCell ref="G4:G7"/>
    <mergeCell ref="H4:H7"/>
    <mergeCell ref="B38:B40"/>
    <mergeCell ref="C38:C40"/>
    <mergeCell ref="D38:D40"/>
    <mergeCell ref="B42:B44"/>
    <mergeCell ref="C42:C44"/>
    <mergeCell ref="D42:D44"/>
    <mergeCell ref="B46:B48"/>
    <mergeCell ref="C46:C48"/>
    <mergeCell ref="D46:D48"/>
    <mergeCell ref="B59:B67"/>
    <mergeCell ref="C59:C67"/>
    <mergeCell ref="D59:D67"/>
    <mergeCell ref="B50:B52"/>
    <mergeCell ref="C50:C52"/>
    <mergeCell ref="D50:D52"/>
    <mergeCell ref="B54:B56"/>
    <mergeCell ref="C54:C56"/>
    <mergeCell ref="D54:D56"/>
  </mergeCells>
  <dataValidations count="1">
    <dataValidation type="list" allowBlank="1" showInputMessage="1" showErrorMessage="1" sqref="F35 F39 F47 F51 F43">
      <formula1>$F$4:$F$7</formula1>
    </dataValidation>
  </dataValidations>
  <pageMargins left="0.25" right="0.25" top="0.75" bottom="0.75" header="0.3" footer="0.3"/>
  <pageSetup paperSize="9" scale="51"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0"/>
  <sheetViews>
    <sheetView showGridLines="0" zoomScale="80" zoomScaleNormal="80" workbookViewId="0">
      <pane ySplit="9" topLeftCell="A10" activePane="bottomLeft" state="frozen"/>
      <selection activeCell="E59" sqref="E59"/>
      <selection pane="bottomLeft" activeCell="A10" sqref="A10"/>
    </sheetView>
  </sheetViews>
  <sheetFormatPr defaultRowHeight="15" outlineLevelRow="1" outlineLevelCol="1" x14ac:dyDescent="0.25"/>
  <cols>
    <col min="1" max="1" width="1.42578125" customWidth="1"/>
    <col min="2" max="2" width="10.5703125" bestFit="1" customWidth="1"/>
    <col min="3" max="3" width="19.5703125" style="1" customWidth="1"/>
    <col min="4" max="4" width="15.5703125" bestFit="1" customWidth="1"/>
    <col min="5" max="5" width="68.42578125" customWidth="1" outlineLevel="1"/>
    <col min="6" max="6" width="18.85546875" customWidth="1" outlineLevel="1"/>
    <col min="7" max="7" width="20.28515625" customWidth="1" outlineLevel="1"/>
    <col min="8" max="8" width="16.7109375" customWidth="1" outlineLevel="1"/>
    <col min="9" max="9" width="19" customWidth="1"/>
    <col min="10" max="10" width="1.28515625" style="87" customWidth="1"/>
    <col min="11" max="11" width="8.42578125" customWidth="1" outlineLevel="1"/>
    <col min="12" max="12" width="10.28515625" customWidth="1" outlineLevel="1"/>
    <col min="13" max="13" width="63" customWidth="1" outlineLevel="1"/>
  </cols>
  <sheetData>
    <row r="1" spans="1:13" x14ac:dyDescent="0.25">
      <c r="A1" s="4" t="s">
        <v>154</v>
      </c>
      <c r="F1" s="3"/>
      <c r="G1" s="3"/>
      <c r="H1" s="3"/>
    </row>
    <row r="2" spans="1:13" x14ac:dyDescent="0.25">
      <c r="A2" s="32" t="s">
        <v>479</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627</v>
      </c>
      <c r="G6" s="143"/>
      <c r="H6" s="146"/>
    </row>
    <row r="7" spans="1:13" x14ac:dyDescent="0.25">
      <c r="A7" s="4"/>
      <c r="E7" s="140"/>
      <c r="F7" s="7" t="s">
        <v>102</v>
      </c>
      <c r="G7" s="144"/>
      <c r="H7" s="147"/>
    </row>
    <row r="9" spans="1:13" ht="37.5" customHeight="1" x14ac:dyDescent="0.25">
      <c r="B9" s="114" t="s">
        <v>0</v>
      </c>
      <c r="C9" s="114" t="s">
        <v>2</v>
      </c>
      <c r="D9" s="114" t="s">
        <v>6</v>
      </c>
      <c r="E9" s="114" t="s">
        <v>11</v>
      </c>
      <c r="F9" s="141" t="s">
        <v>12</v>
      </c>
      <c r="G9" s="141"/>
      <c r="H9" s="141"/>
      <c r="I9" s="115" t="s">
        <v>13</v>
      </c>
      <c r="J9" s="111"/>
      <c r="K9" s="115" t="s">
        <v>19</v>
      </c>
      <c r="L9" s="114" t="s">
        <v>4</v>
      </c>
      <c r="M9" s="114" t="s">
        <v>25</v>
      </c>
    </row>
    <row r="10" spans="1:13" ht="105" outlineLevel="1" x14ac:dyDescent="0.25">
      <c r="B10" s="133" t="s">
        <v>478</v>
      </c>
      <c r="C10" s="125" t="s">
        <v>468</v>
      </c>
      <c r="D10" s="133" t="s">
        <v>7</v>
      </c>
      <c r="E10" s="16" t="s">
        <v>477</v>
      </c>
      <c r="F10" s="43" t="s">
        <v>8</v>
      </c>
      <c r="G10" s="43" t="s">
        <v>9</v>
      </c>
      <c r="H10" s="11" t="s">
        <v>14</v>
      </c>
      <c r="I10" s="43" t="s">
        <v>40</v>
      </c>
      <c r="J10" s="88" t="s">
        <v>939</v>
      </c>
      <c r="K10" s="8" t="s">
        <v>17</v>
      </c>
      <c r="L10" s="15">
        <v>1</v>
      </c>
      <c r="M10" s="16" t="s">
        <v>615</v>
      </c>
    </row>
    <row r="11" spans="1:13" ht="105" outlineLevel="1" x14ac:dyDescent="0.25">
      <c r="B11" s="133"/>
      <c r="C11" s="125"/>
      <c r="D11" s="133"/>
      <c r="E11" s="57" t="s">
        <v>613</v>
      </c>
      <c r="F11" s="22"/>
      <c r="G11" s="22"/>
      <c r="H11" s="11" t="s">
        <v>14</v>
      </c>
      <c r="I11" s="9" t="s">
        <v>14</v>
      </c>
      <c r="J11" s="88" t="s">
        <v>940</v>
      </c>
      <c r="K11" s="8" t="s">
        <v>17</v>
      </c>
      <c r="L11" s="15">
        <v>2</v>
      </c>
      <c r="M11" s="16" t="s">
        <v>616</v>
      </c>
    </row>
    <row r="12" spans="1:13" ht="91.5" customHeight="1" outlineLevel="1" x14ac:dyDescent="0.25">
      <c r="B12" s="133"/>
      <c r="C12" s="125"/>
      <c r="D12" s="133"/>
      <c r="E12" s="58" t="s">
        <v>614</v>
      </c>
      <c r="F12" s="22"/>
      <c r="G12" s="22"/>
      <c r="H12" s="11" t="s">
        <v>14</v>
      </c>
      <c r="I12" s="11" t="s">
        <v>14</v>
      </c>
      <c r="J12" s="88" t="s">
        <v>941</v>
      </c>
      <c r="K12" s="8" t="s">
        <v>18</v>
      </c>
      <c r="L12" s="15">
        <v>3</v>
      </c>
      <c r="M12" s="16" t="s">
        <v>617</v>
      </c>
    </row>
    <row r="13" spans="1:13" outlineLevel="1" x14ac:dyDescent="0.25">
      <c r="B13" s="133"/>
      <c r="C13" s="125"/>
      <c r="D13" s="133"/>
      <c r="E13" s="18" t="s">
        <v>24</v>
      </c>
      <c r="F13" s="12">
        <f>COUNTIF(F11:F12,"Sim")</f>
        <v>0</v>
      </c>
      <c r="G13" s="12">
        <f>COUNTIF(G11:G12,"Sim")</f>
        <v>0</v>
      </c>
      <c r="H13" s="11" t="s">
        <v>14</v>
      </c>
      <c r="I13" s="9" t="s">
        <v>14</v>
      </c>
      <c r="J13" s="89"/>
      <c r="K13" s="1"/>
      <c r="L13" s="3"/>
      <c r="M13" s="2"/>
    </row>
    <row r="14" spans="1:13" x14ac:dyDescent="0.25">
      <c r="A14" s="94" t="str">
        <f>B10</f>
        <v>MP086</v>
      </c>
      <c r="B14" s="133"/>
      <c r="C14" s="125"/>
      <c r="D14" s="133"/>
      <c r="E14" s="19" t="s">
        <v>22</v>
      </c>
      <c r="F14" s="13" t="str">
        <f>IF(F13=2,"Nível 2 ou 3","Nível 1")</f>
        <v>Nível 1</v>
      </c>
      <c r="G14" s="13" t="str">
        <f>IF(G13=2,"Nível 3","Nível 2")</f>
        <v>Nível 2</v>
      </c>
      <c r="H14" s="11" t="s">
        <v>14</v>
      </c>
      <c r="I14" s="14" t="str">
        <f>IF(F14="Nível 1",F14,G14)</f>
        <v>Nível 1</v>
      </c>
      <c r="L14" s="6"/>
      <c r="M14" s="2"/>
    </row>
    <row r="15" spans="1:13" x14ac:dyDescent="0.25">
      <c r="A15" s="94"/>
    </row>
    <row r="16" spans="1:13" ht="173.25" customHeight="1" outlineLevel="1" x14ac:dyDescent="0.25">
      <c r="A16" s="94"/>
      <c r="B16" s="133" t="s">
        <v>476</v>
      </c>
      <c r="C16" s="125" t="s">
        <v>468</v>
      </c>
      <c r="D16" s="133" t="s">
        <v>51</v>
      </c>
      <c r="E16" s="131" t="s">
        <v>475</v>
      </c>
      <c r="F16" s="43" t="s">
        <v>474</v>
      </c>
      <c r="G16" s="55" t="s">
        <v>620</v>
      </c>
      <c r="H16" s="8" t="s">
        <v>14</v>
      </c>
      <c r="I16" s="43" t="s">
        <v>40</v>
      </c>
      <c r="J16" s="109" t="s">
        <v>942</v>
      </c>
      <c r="K16" s="8" t="s">
        <v>17</v>
      </c>
      <c r="L16" s="15">
        <v>1</v>
      </c>
      <c r="M16" s="16" t="s">
        <v>618</v>
      </c>
    </row>
    <row r="17" spans="1:13" ht="105" outlineLevel="1" x14ac:dyDescent="0.25">
      <c r="A17" s="94"/>
      <c r="B17" s="133"/>
      <c r="C17" s="125"/>
      <c r="D17" s="133"/>
      <c r="E17" s="132"/>
      <c r="F17" s="7"/>
      <c r="G17" s="7"/>
      <c r="H17" s="8" t="s">
        <v>14</v>
      </c>
      <c r="I17" s="8" t="s">
        <v>14</v>
      </c>
      <c r="J17" s="109" t="s">
        <v>943</v>
      </c>
      <c r="K17" s="8" t="s">
        <v>18</v>
      </c>
      <c r="L17" s="15">
        <v>2</v>
      </c>
      <c r="M17" s="16" t="s">
        <v>619</v>
      </c>
    </row>
    <row r="18" spans="1:13" x14ac:dyDescent="0.25">
      <c r="A18" s="94" t="str">
        <f>B16</f>
        <v>MP087</v>
      </c>
      <c r="B18" s="133"/>
      <c r="C18" s="125"/>
      <c r="D18" s="133"/>
      <c r="E18" s="19" t="s">
        <v>22</v>
      </c>
      <c r="F18" s="13" t="str">
        <f>IF(F17="Sim","Nível 2 ou 3","Nível 1")</f>
        <v>Nível 1</v>
      </c>
      <c r="G18" s="13" t="str">
        <f>IF(G17="Sim","Nível 3","Nível 2")</f>
        <v>Nível 2</v>
      </c>
      <c r="H18" s="11" t="s">
        <v>14</v>
      </c>
      <c r="I18" s="14" t="str">
        <f>IF(F18="Nível 1",F18,G18)</f>
        <v>Nível 1</v>
      </c>
    </row>
    <row r="19" spans="1:13" x14ac:dyDescent="0.25">
      <c r="A19" s="94"/>
    </row>
    <row r="20" spans="1:13" ht="100.5" customHeight="1" outlineLevel="1" x14ac:dyDescent="0.25">
      <c r="A20" s="94"/>
      <c r="B20" s="133" t="s">
        <v>473</v>
      </c>
      <c r="C20" s="125" t="s">
        <v>468</v>
      </c>
      <c r="D20" s="133" t="s">
        <v>51</v>
      </c>
      <c r="E20" s="131" t="s">
        <v>472</v>
      </c>
      <c r="F20" s="160" t="s">
        <v>623</v>
      </c>
      <c r="G20" s="161"/>
      <c r="H20" s="162"/>
      <c r="I20" s="43" t="s">
        <v>40</v>
      </c>
      <c r="J20" s="87" t="s">
        <v>944</v>
      </c>
      <c r="K20" s="8" t="s">
        <v>17</v>
      </c>
      <c r="L20" s="15">
        <v>1</v>
      </c>
      <c r="M20" s="16" t="s">
        <v>621</v>
      </c>
    </row>
    <row r="21" spans="1:13" ht="75" customHeight="1" outlineLevel="1" x14ac:dyDescent="0.25">
      <c r="A21" s="94"/>
      <c r="B21" s="133"/>
      <c r="C21" s="125"/>
      <c r="D21" s="133"/>
      <c r="E21" s="132"/>
      <c r="F21" s="163"/>
      <c r="G21" s="164"/>
      <c r="H21" s="165"/>
      <c r="I21" s="8" t="s">
        <v>14</v>
      </c>
      <c r="J21" s="87" t="s">
        <v>945</v>
      </c>
      <c r="K21" s="8" t="s">
        <v>17</v>
      </c>
      <c r="L21" s="15">
        <v>2</v>
      </c>
      <c r="M21" s="16" t="s">
        <v>622</v>
      </c>
    </row>
    <row r="22" spans="1:13" x14ac:dyDescent="0.25">
      <c r="A22" s="94" t="str">
        <f>B20</f>
        <v>MP088</v>
      </c>
      <c r="B22" s="133"/>
      <c r="C22" s="125"/>
      <c r="D22" s="133"/>
      <c r="E22" s="19" t="s">
        <v>22</v>
      </c>
      <c r="F22" s="157" t="str">
        <f>IF(F21="Sim","Nível 3","Nível 1")</f>
        <v>Nível 1</v>
      </c>
      <c r="G22" s="166"/>
      <c r="H22" s="158"/>
      <c r="I22" s="25" t="str">
        <f>F22</f>
        <v>Nível 1</v>
      </c>
    </row>
    <row r="23" spans="1:13" x14ac:dyDescent="0.25">
      <c r="A23" s="94"/>
    </row>
    <row r="24" spans="1:13" ht="105" outlineLevel="1" x14ac:dyDescent="0.25">
      <c r="A24" s="94"/>
      <c r="B24" s="134" t="s">
        <v>471</v>
      </c>
      <c r="C24" s="150" t="s">
        <v>468</v>
      </c>
      <c r="D24" s="134" t="s">
        <v>51</v>
      </c>
      <c r="E24" s="131" t="s">
        <v>685</v>
      </c>
      <c r="F24" s="43" t="s">
        <v>470</v>
      </c>
      <c r="G24" s="43" t="s">
        <v>626</v>
      </c>
      <c r="H24" s="8" t="s">
        <v>14</v>
      </c>
      <c r="I24" s="43" t="s">
        <v>40</v>
      </c>
      <c r="J24" s="109" t="s">
        <v>946</v>
      </c>
      <c r="K24" s="8" t="s">
        <v>17</v>
      </c>
      <c r="L24" s="15">
        <v>1</v>
      </c>
      <c r="M24" s="16" t="s">
        <v>624</v>
      </c>
    </row>
    <row r="25" spans="1:13" ht="60" outlineLevel="1" x14ac:dyDescent="0.25">
      <c r="A25" s="94"/>
      <c r="B25" s="135"/>
      <c r="C25" s="151"/>
      <c r="D25" s="135"/>
      <c r="E25" s="132"/>
      <c r="F25" s="7"/>
      <c r="G25" s="7"/>
      <c r="H25" s="8" t="s">
        <v>14</v>
      </c>
      <c r="I25" s="8" t="s">
        <v>14</v>
      </c>
      <c r="J25" s="87" t="s">
        <v>947</v>
      </c>
      <c r="K25" s="8" t="s">
        <v>18</v>
      </c>
      <c r="L25" s="15">
        <v>2</v>
      </c>
      <c r="M25" s="16" t="s">
        <v>625</v>
      </c>
    </row>
    <row r="26" spans="1:13" x14ac:dyDescent="0.25">
      <c r="A26" s="94" t="str">
        <f>B24</f>
        <v>MP089</v>
      </c>
      <c r="B26" s="136"/>
      <c r="C26" s="152"/>
      <c r="D26" s="136"/>
      <c r="E26" s="19" t="s">
        <v>22</v>
      </c>
      <c r="F26" s="13" t="str">
        <f>IF(F25="Sim","Nível 2 ou 3","Nível 1")</f>
        <v>Nível 1</v>
      </c>
      <c r="G26" s="13" t="str">
        <f>IF(OR(G25="Sim",G25="NA"),"Nível 3","Nível 2")</f>
        <v>Nível 2</v>
      </c>
      <c r="H26" s="11" t="s">
        <v>14</v>
      </c>
      <c r="I26" s="14" t="str">
        <f>IF(F26="Nível 1",F26,G26)</f>
        <v>Nível 1</v>
      </c>
    </row>
    <row r="27" spans="1:13" x14ac:dyDescent="0.25">
      <c r="A27" s="94"/>
    </row>
    <row r="28" spans="1:13" ht="140.25" customHeight="1" outlineLevel="1" x14ac:dyDescent="0.25">
      <c r="A28" s="94"/>
      <c r="B28" s="134" t="s">
        <v>469</v>
      </c>
      <c r="C28" s="150" t="s">
        <v>468</v>
      </c>
      <c r="D28" s="134" t="s">
        <v>51</v>
      </c>
      <c r="E28" s="131" t="s">
        <v>467</v>
      </c>
      <c r="F28" s="43" t="s">
        <v>466</v>
      </c>
      <c r="G28" s="43" t="s">
        <v>465</v>
      </c>
      <c r="H28" s="8" t="s">
        <v>14</v>
      </c>
      <c r="I28" s="43" t="s">
        <v>40</v>
      </c>
      <c r="J28" s="109" t="s">
        <v>948</v>
      </c>
      <c r="K28" s="8" t="s">
        <v>17</v>
      </c>
      <c r="L28" s="15">
        <v>1</v>
      </c>
      <c r="M28" s="16" t="s">
        <v>628</v>
      </c>
    </row>
    <row r="29" spans="1:13" ht="106.5" customHeight="1" outlineLevel="1" x14ac:dyDescent="0.25">
      <c r="A29" s="94"/>
      <c r="B29" s="135"/>
      <c r="C29" s="151"/>
      <c r="D29" s="135"/>
      <c r="E29" s="132"/>
      <c r="F29" s="22"/>
      <c r="G29" s="22"/>
      <c r="H29" s="8" t="s">
        <v>14</v>
      </c>
      <c r="I29" s="8" t="s">
        <v>14</v>
      </c>
      <c r="J29" s="87" t="s">
        <v>949</v>
      </c>
      <c r="K29" s="8" t="s">
        <v>18</v>
      </c>
      <c r="L29" s="15">
        <v>2</v>
      </c>
      <c r="M29" s="16" t="s">
        <v>629</v>
      </c>
    </row>
    <row r="30" spans="1:13" x14ac:dyDescent="0.25">
      <c r="A30" s="94" t="str">
        <f>B28</f>
        <v>MP090</v>
      </c>
      <c r="B30" s="136"/>
      <c r="C30" s="152"/>
      <c r="D30" s="136"/>
      <c r="E30" s="19" t="s">
        <v>22</v>
      </c>
      <c r="F30" s="24" t="str">
        <f>IF(F29="Sim","Nível 2 ou 3","Nível 1")</f>
        <v>Nível 1</v>
      </c>
      <c r="G30" s="24" t="str">
        <f>IF(G29="Sim","Nível 3 ","Nível 2")</f>
        <v>Nível 2</v>
      </c>
      <c r="H30" s="8" t="s">
        <v>14</v>
      </c>
      <c r="I30" s="14" t="str">
        <f>IF(F30="Nível 1",F30,G30)</f>
        <v>Nível 1</v>
      </c>
    </row>
  </sheetData>
  <mergeCells count="27">
    <mergeCell ref="H4:H7"/>
    <mergeCell ref="F2:H2"/>
    <mergeCell ref="B16:B18"/>
    <mergeCell ref="C16:C18"/>
    <mergeCell ref="D16:D18"/>
    <mergeCell ref="E4:E7"/>
    <mergeCell ref="F9:H9"/>
    <mergeCell ref="B10:B14"/>
    <mergeCell ref="C10:C14"/>
    <mergeCell ref="D10:D14"/>
    <mergeCell ref="G4:G7"/>
    <mergeCell ref="E16:E17"/>
    <mergeCell ref="B28:B30"/>
    <mergeCell ref="C28:C30"/>
    <mergeCell ref="D28:D30"/>
    <mergeCell ref="B20:B22"/>
    <mergeCell ref="C20:C22"/>
    <mergeCell ref="D20:D22"/>
    <mergeCell ref="D24:D26"/>
    <mergeCell ref="C24:C26"/>
    <mergeCell ref="B24:B26"/>
    <mergeCell ref="E24:E25"/>
    <mergeCell ref="E28:E29"/>
    <mergeCell ref="E20:E21"/>
    <mergeCell ref="F20:H20"/>
    <mergeCell ref="F21:H21"/>
    <mergeCell ref="F22:H22"/>
  </mergeCells>
  <dataValidations count="1">
    <dataValidation type="list" allowBlank="1" showInputMessage="1" showErrorMessage="1" sqref="F21 F29:G29">
      <formula1>$F$4:$F$6</formula1>
    </dataValidation>
  </dataValidations>
  <pageMargins left="0.23622047244094491" right="0.23622047244094491" top="0.74803149606299213" bottom="0.74803149606299213" header="0.31496062992125984" footer="0.31496062992125984"/>
  <pageSetup paperSize="9" scale="52" orientation="landscape" r:id="rId1"/>
  <rowBreaks count="1" manualBreakCount="1">
    <brk id="18" max="12"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showGridLines="0" zoomScale="80" zoomScaleNormal="80" workbookViewId="0">
      <pane ySplit="9" topLeftCell="A10" activePane="bottomLeft" state="frozen"/>
      <selection activeCell="E59" sqref="E59"/>
      <selection pane="bottomLeft" activeCell="A10" sqref="A10"/>
    </sheetView>
  </sheetViews>
  <sheetFormatPr defaultRowHeight="15" outlineLevelRow="1" outlineLevelCol="1" x14ac:dyDescent="0.25"/>
  <cols>
    <col min="1" max="1" width="1.42578125" customWidth="1"/>
    <col min="2" max="2" width="10.5703125" bestFit="1" customWidth="1"/>
    <col min="3" max="3" width="15.7109375" customWidth="1"/>
    <col min="4" max="4" width="13.85546875" bestFit="1" customWidth="1"/>
    <col min="5" max="5" width="68.42578125" customWidth="1" outlineLevel="1"/>
    <col min="6" max="8" width="16.7109375" customWidth="1" outlineLevel="1"/>
    <col min="9" max="9" width="19" customWidth="1"/>
    <col min="10" max="10" width="0.5703125" style="87" customWidth="1"/>
    <col min="11" max="11" width="8.42578125" customWidth="1" outlineLevel="1"/>
    <col min="12" max="12" width="9.7109375" bestFit="1" customWidth="1" outlineLevel="1"/>
    <col min="13" max="13" width="63" customWidth="1" outlineLevel="1"/>
  </cols>
  <sheetData>
    <row r="1" spans="1:13" x14ac:dyDescent="0.25">
      <c r="A1" s="4" t="s">
        <v>154</v>
      </c>
      <c r="F1" s="3"/>
      <c r="G1" s="3"/>
      <c r="H1" s="3"/>
    </row>
    <row r="2" spans="1:13" x14ac:dyDescent="0.25">
      <c r="A2" s="32" t="s">
        <v>402</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261</v>
      </c>
      <c r="G6" s="143"/>
      <c r="H6" s="146"/>
    </row>
    <row r="7" spans="1:13" x14ac:dyDescent="0.25">
      <c r="A7" s="4"/>
      <c r="E7" s="140"/>
      <c r="F7" s="7" t="s">
        <v>102</v>
      </c>
      <c r="G7" s="144"/>
      <c r="H7" s="147"/>
    </row>
    <row r="9" spans="1:13" s="113" customFormat="1" ht="30" customHeight="1" x14ac:dyDescent="0.25">
      <c r="B9" s="114" t="s">
        <v>0</v>
      </c>
      <c r="C9" s="114" t="s">
        <v>2</v>
      </c>
      <c r="D9" s="114" t="s">
        <v>6</v>
      </c>
      <c r="E9" s="114" t="s">
        <v>11</v>
      </c>
      <c r="F9" s="141" t="s">
        <v>12</v>
      </c>
      <c r="G9" s="141"/>
      <c r="H9" s="141"/>
      <c r="I9" s="115" t="s">
        <v>13</v>
      </c>
      <c r="J9" s="111"/>
      <c r="K9" s="115" t="s">
        <v>19</v>
      </c>
      <c r="L9" s="114" t="s">
        <v>4</v>
      </c>
      <c r="M9" s="114" t="s">
        <v>25</v>
      </c>
    </row>
    <row r="10" spans="1:13" ht="105" outlineLevel="1" x14ac:dyDescent="0.25">
      <c r="B10" s="133" t="s">
        <v>401</v>
      </c>
      <c r="C10" s="125" t="s">
        <v>390</v>
      </c>
      <c r="D10" s="133" t="s">
        <v>7</v>
      </c>
      <c r="E10" s="16" t="s">
        <v>400</v>
      </c>
      <c r="F10" s="43" t="s">
        <v>8</v>
      </c>
      <c r="G10" s="43" t="s">
        <v>9</v>
      </c>
      <c r="H10" s="9" t="s">
        <v>14</v>
      </c>
      <c r="I10" s="43" t="s">
        <v>40</v>
      </c>
      <c r="J10" s="88" t="s">
        <v>950</v>
      </c>
      <c r="K10" s="8" t="s">
        <v>17</v>
      </c>
      <c r="L10" s="15">
        <v>1</v>
      </c>
      <c r="M10" s="16" t="s">
        <v>647</v>
      </c>
    </row>
    <row r="11" spans="1:13" ht="105" outlineLevel="1" x14ac:dyDescent="0.25">
      <c r="B11" s="133"/>
      <c r="C11" s="125"/>
      <c r="D11" s="133"/>
      <c r="E11" s="20" t="s">
        <v>399</v>
      </c>
      <c r="F11" s="22"/>
      <c r="G11" s="22"/>
      <c r="H11" s="9" t="s">
        <v>14</v>
      </c>
      <c r="I11" s="9" t="s">
        <v>14</v>
      </c>
      <c r="J11" s="88" t="s">
        <v>951</v>
      </c>
      <c r="K11" s="8" t="s">
        <v>17</v>
      </c>
      <c r="L11" s="15">
        <v>2</v>
      </c>
      <c r="M11" s="16" t="s">
        <v>648</v>
      </c>
    </row>
    <row r="12" spans="1:13" ht="83.25" customHeight="1" outlineLevel="1" x14ac:dyDescent="0.25">
      <c r="B12" s="133"/>
      <c r="C12" s="125"/>
      <c r="D12" s="133"/>
      <c r="E12" s="21" t="s">
        <v>398</v>
      </c>
      <c r="F12" s="22"/>
      <c r="G12" s="22"/>
      <c r="H12" s="11" t="s">
        <v>14</v>
      </c>
      <c r="I12" s="11" t="s">
        <v>14</v>
      </c>
      <c r="J12" s="93" t="s">
        <v>952</v>
      </c>
      <c r="K12" s="8" t="s">
        <v>18</v>
      </c>
      <c r="L12" s="15">
        <v>3</v>
      </c>
      <c r="M12" s="16" t="s">
        <v>649</v>
      </c>
    </row>
    <row r="13" spans="1:13" ht="30" outlineLevel="1" x14ac:dyDescent="0.25">
      <c r="B13" s="133"/>
      <c r="C13" s="125"/>
      <c r="D13" s="133"/>
      <c r="E13" s="20" t="s">
        <v>397</v>
      </c>
      <c r="F13" s="22"/>
      <c r="G13" s="22"/>
      <c r="H13" s="11" t="s">
        <v>14</v>
      </c>
      <c r="I13" s="11" t="s">
        <v>14</v>
      </c>
    </row>
    <row r="14" spans="1:13" outlineLevel="1" x14ac:dyDescent="0.25">
      <c r="B14" s="133"/>
      <c r="C14" s="125"/>
      <c r="D14" s="133"/>
      <c r="E14" s="18" t="s">
        <v>24</v>
      </c>
      <c r="F14" s="12">
        <f>COUNTIF(F11:F13,"Sim")</f>
        <v>0</v>
      </c>
      <c r="G14" s="12">
        <f>COUNTIF(G11:G13,"Sim")</f>
        <v>0</v>
      </c>
      <c r="H14" s="9" t="s">
        <v>14</v>
      </c>
      <c r="I14" s="9" t="s">
        <v>14</v>
      </c>
      <c r="J14" s="89"/>
      <c r="K14" s="1"/>
      <c r="L14" s="3"/>
      <c r="M14" s="2"/>
    </row>
    <row r="15" spans="1:13" x14ac:dyDescent="0.25">
      <c r="A15" s="94" t="str">
        <f>B10</f>
        <v>MP091</v>
      </c>
      <c r="B15" s="133"/>
      <c r="C15" s="125"/>
      <c r="D15" s="133"/>
      <c r="E15" s="19" t="s">
        <v>22</v>
      </c>
      <c r="F15" s="13" t="str">
        <f>IF(F14=3,"Nível 2 ou 3","Nível 1")</f>
        <v>Nível 1</v>
      </c>
      <c r="G15" s="13" t="str">
        <f>IF(SUM(G14)=3,"Nível 3","Nível 2")</f>
        <v>Nível 2</v>
      </c>
      <c r="H15" s="11" t="s">
        <v>14</v>
      </c>
      <c r="I15" s="14" t="str">
        <f>IF(F15="Nível 1",F15,G15)</f>
        <v>Nível 1</v>
      </c>
      <c r="L15" s="6"/>
      <c r="M15" s="2"/>
    </row>
    <row r="16" spans="1:13" x14ac:dyDescent="0.25">
      <c r="A16" s="94"/>
    </row>
    <row r="17" spans="1:13" ht="45" customHeight="1" outlineLevel="1" x14ac:dyDescent="0.25">
      <c r="A17" s="94"/>
      <c r="B17" s="134" t="s">
        <v>396</v>
      </c>
      <c r="C17" s="125" t="s">
        <v>390</v>
      </c>
      <c r="D17" s="133" t="s">
        <v>41</v>
      </c>
      <c r="E17" s="131" t="s">
        <v>395</v>
      </c>
      <c r="F17" s="43" t="s">
        <v>43</v>
      </c>
      <c r="G17" s="8" t="s">
        <v>14</v>
      </c>
      <c r="H17" s="8" t="s">
        <v>14</v>
      </c>
      <c r="I17" s="43" t="s">
        <v>40</v>
      </c>
      <c r="J17" s="87" t="s">
        <v>953</v>
      </c>
      <c r="K17" s="8" t="s">
        <v>17</v>
      </c>
      <c r="L17" s="15">
        <v>1</v>
      </c>
      <c r="M17" s="16" t="s">
        <v>368</v>
      </c>
    </row>
    <row r="18" spans="1:13" outlineLevel="1" x14ac:dyDescent="0.25">
      <c r="A18" s="94"/>
      <c r="B18" s="135"/>
      <c r="C18" s="125"/>
      <c r="D18" s="133"/>
      <c r="E18" s="132"/>
      <c r="F18" s="22"/>
      <c r="G18" s="8" t="s">
        <v>14</v>
      </c>
      <c r="H18" s="8" t="s">
        <v>14</v>
      </c>
      <c r="I18" s="8" t="s">
        <v>14</v>
      </c>
    </row>
    <row r="19" spans="1:13" x14ac:dyDescent="0.25">
      <c r="A19" s="94" t="str">
        <f>B17</f>
        <v>MP092</v>
      </c>
      <c r="B19" s="136"/>
      <c r="C19" s="125"/>
      <c r="D19" s="133"/>
      <c r="E19" s="19" t="s">
        <v>22</v>
      </c>
      <c r="F19" s="24" t="str">
        <f>IF(F18="Sim","Nível 3","Nível 1")</f>
        <v>Nível 1</v>
      </c>
      <c r="G19" s="8" t="s">
        <v>14</v>
      </c>
      <c r="H19" s="8" t="s">
        <v>14</v>
      </c>
      <c r="I19" s="25" t="str">
        <f>F19</f>
        <v>Nível 1</v>
      </c>
    </row>
    <row r="20" spans="1:13" x14ac:dyDescent="0.25">
      <c r="A20" s="94"/>
    </row>
    <row r="21" spans="1:13" ht="105" outlineLevel="1" x14ac:dyDescent="0.25">
      <c r="A21" s="94"/>
      <c r="B21" s="133" t="s">
        <v>394</v>
      </c>
      <c r="C21" s="125" t="s">
        <v>390</v>
      </c>
      <c r="D21" s="133" t="s">
        <v>7</v>
      </c>
      <c r="E21" s="131" t="s">
        <v>654</v>
      </c>
      <c r="F21" s="43" t="s">
        <v>653</v>
      </c>
      <c r="G21" s="55" t="s">
        <v>655</v>
      </c>
      <c r="H21" s="8" t="s">
        <v>14</v>
      </c>
      <c r="I21" s="43" t="s">
        <v>40</v>
      </c>
      <c r="J21" s="109" t="s">
        <v>954</v>
      </c>
      <c r="K21" s="8" t="s">
        <v>17</v>
      </c>
      <c r="L21" s="15">
        <v>1</v>
      </c>
      <c r="M21" s="16" t="s">
        <v>650</v>
      </c>
    </row>
    <row r="22" spans="1:13" ht="30" outlineLevel="1" x14ac:dyDescent="0.25">
      <c r="A22" s="94"/>
      <c r="B22" s="133"/>
      <c r="C22" s="125"/>
      <c r="D22" s="133"/>
      <c r="E22" s="132"/>
      <c r="F22" s="22"/>
      <c r="G22" s="22"/>
      <c r="H22" s="8" t="s">
        <v>14</v>
      </c>
      <c r="I22" s="8" t="s">
        <v>14</v>
      </c>
      <c r="J22" s="93" t="s">
        <v>955</v>
      </c>
      <c r="K22" s="8" t="s">
        <v>18</v>
      </c>
      <c r="L22" s="15">
        <v>2</v>
      </c>
      <c r="M22" s="16" t="s">
        <v>651</v>
      </c>
    </row>
    <row r="23" spans="1:13" ht="30" x14ac:dyDescent="0.25">
      <c r="A23" s="94" t="str">
        <f>B21</f>
        <v>MP093</v>
      </c>
      <c r="B23" s="133"/>
      <c r="C23" s="125"/>
      <c r="D23" s="133"/>
      <c r="E23" s="19" t="s">
        <v>22</v>
      </c>
      <c r="F23" s="24" t="str">
        <f>IF(F22="Sim","Nível 2 ou 3","Nível 1")</f>
        <v>Nível 1</v>
      </c>
      <c r="G23" s="24" t="str">
        <f>IF(G22="Sim","Nível 3","Nível 2")</f>
        <v>Nível 2</v>
      </c>
      <c r="H23" s="8" t="s">
        <v>14</v>
      </c>
      <c r="I23" s="25" t="str">
        <f>IF(F23="Nível 1",F23,G23)</f>
        <v>Nível 1</v>
      </c>
      <c r="J23" s="93" t="s">
        <v>956</v>
      </c>
      <c r="K23" s="8" t="s">
        <v>18</v>
      </c>
      <c r="L23" s="15">
        <v>3</v>
      </c>
      <c r="M23" s="16" t="s">
        <v>652</v>
      </c>
    </row>
    <row r="24" spans="1:13" x14ac:dyDescent="0.25">
      <c r="A24" s="94"/>
    </row>
    <row r="25" spans="1:13" ht="105" customHeight="1" outlineLevel="1" x14ac:dyDescent="0.25">
      <c r="A25" s="94"/>
      <c r="B25" s="134" t="s">
        <v>393</v>
      </c>
      <c r="C25" s="150" t="s">
        <v>390</v>
      </c>
      <c r="D25" s="134" t="s">
        <v>51</v>
      </c>
      <c r="E25" s="131" t="s">
        <v>392</v>
      </c>
      <c r="F25" s="43" t="s">
        <v>657</v>
      </c>
      <c r="G25" s="160" t="s">
        <v>658</v>
      </c>
      <c r="H25" s="162"/>
      <c r="I25" s="43" t="s">
        <v>40</v>
      </c>
      <c r="J25" s="87" t="s">
        <v>957</v>
      </c>
      <c r="K25" s="8" t="s">
        <v>17</v>
      </c>
      <c r="L25" s="15">
        <v>1</v>
      </c>
      <c r="M25" s="16" t="s">
        <v>656</v>
      </c>
    </row>
    <row r="26" spans="1:13" outlineLevel="1" x14ac:dyDescent="0.25">
      <c r="A26" s="94"/>
      <c r="B26" s="135"/>
      <c r="C26" s="151"/>
      <c r="D26" s="135"/>
      <c r="E26" s="132"/>
      <c r="F26" s="22"/>
      <c r="G26" s="167"/>
      <c r="H26" s="167"/>
      <c r="I26" s="8" t="s">
        <v>14</v>
      </c>
    </row>
    <row r="27" spans="1:13" x14ac:dyDescent="0.25">
      <c r="A27" s="94" t="str">
        <f>B25</f>
        <v>MP094</v>
      </c>
      <c r="B27" s="136"/>
      <c r="C27" s="152"/>
      <c r="D27" s="136"/>
      <c r="E27" s="19" t="s">
        <v>22</v>
      </c>
      <c r="F27" s="24" t="str">
        <f>IF(COUNTIF(F26:H26,"Sim")=2,"Nível 3","Nível 1")</f>
        <v>Nível 1</v>
      </c>
      <c r="G27" s="8" t="s">
        <v>14</v>
      </c>
      <c r="H27" s="8" t="s">
        <v>14</v>
      </c>
      <c r="I27" s="25" t="str">
        <f>F27</f>
        <v>Nível 1</v>
      </c>
    </row>
    <row r="28" spans="1:13" x14ac:dyDescent="0.25">
      <c r="A28" s="94"/>
    </row>
    <row r="29" spans="1:13" ht="105" outlineLevel="1" x14ac:dyDescent="0.25">
      <c r="A29" s="94"/>
      <c r="B29" s="134" t="s">
        <v>391</v>
      </c>
      <c r="C29" s="150" t="s">
        <v>390</v>
      </c>
      <c r="D29" s="134" t="s">
        <v>51</v>
      </c>
      <c r="E29" s="131" t="s">
        <v>662</v>
      </c>
      <c r="F29" s="43" t="s">
        <v>663</v>
      </c>
      <c r="G29" s="55" t="s">
        <v>661</v>
      </c>
      <c r="H29" s="8" t="s">
        <v>14</v>
      </c>
      <c r="I29" s="43" t="s">
        <v>40</v>
      </c>
      <c r="J29" s="109" t="s">
        <v>958</v>
      </c>
      <c r="K29" s="8" t="s">
        <v>17</v>
      </c>
      <c r="L29" s="15">
        <v>1</v>
      </c>
      <c r="M29" s="16" t="s">
        <v>659</v>
      </c>
    </row>
    <row r="30" spans="1:13" ht="45" outlineLevel="1" x14ac:dyDescent="0.25">
      <c r="A30" s="94"/>
      <c r="B30" s="135"/>
      <c r="C30" s="151"/>
      <c r="D30" s="135"/>
      <c r="E30" s="132"/>
      <c r="F30" s="22"/>
      <c r="G30" s="22"/>
      <c r="H30" s="8" t="s">
        <v>14</v>
      </c>
      <c r="I30" s="8" t="s">
        <v>14</v>
      </c>
      <c r="J30" s="87" t="s">
        <v>959</v>
      </c>
      <c r="K30" s="8" t="s">
        <v>18</v>
      </c>
      <c r="L30" s="15">
        <v>2</v>
      </c>
      <c r="M30" s="16" t="s">
        <v>660</v>
      </c>
    </row>
    <row r="31" spans="1:13" x14ac:dyDescent="0.25">
      <c r="A31" s="94" t="str">
        <f>B29</f>
        <v>MP095</v>
      </c>
      <c r="B31" s="136"/>
      <c r="C31" s="152"/>
      <c r="D31" s="136"/>
      <c r="E31" s="19" t="s">
        <v>22</v>
      </c>
      <c r="F31" s="24" t="str">
        <f>IF(F30="Sim","Nível 2 ou 3 ","Nível 1")</f>
        <v>Nível 1</v>
      </c>
      <c r="G31" s="24" t="str">
        <f>IF(G30="Sim","Nível 3","Nível 2")</f>
        <v>Nível 2</v>
      </c>
      <c r="H31" s="8" t="s">
        <v>14</v>
      </c>
      <c r="I31" s="25" t="str">
        <f>IF(F31="Nível 1",F31,G31)</f>
        <v>Nível 1</v>
      </c>
    </row>
  </sheetData>
  <mergeCells count="26">
    <mergeCell ref="H4:H7"/>
    <mergeCell ref="F2:H2"/>
    <mergeCell ref="B17:B19"/>
    <mergeCell ref="C17:C19"/>
    <mergeCell ref="D17:D19"/>
    <mergeCell ref="E4:E7"/>
    <mergeCell ref="F9:H9"/>
    <mergeCell ref="B10:B15"/>
    <mergeCell ref="C10:C15"/>
    <mergeCell ref="D10:D15"/>
    <mergeCell ref="G4:G7"/>
    <mergeCell ref="E17:E18"/>
    <mergeCell ref="B29:B31"/>
    <mergeCell ref="C29:C31"/>
    <mergeCell ref="D29:D31"/>
    <mergeCell ref="B21:B23"/>
    <mergeCell ref="C21:C23"/>
    <mergeCell ref="D21:D23"/>
    <mergeCell ref="D25:D27"/>
    <mergeCell ref="C25:C27"/>
    <mergeCell ref="B25:B27"/>
    <mergeCell ref="E21:E22"/>
    <mergeCell ref="E25:E26"/>
    <mergeCell ref="G25:H25"/>
    <mergeCell ref="G26:H26"/>
    <mergeCell ref="E29:E30"/>
  </mergeCells>
  <pageMargins left="0.23622047244094491" right="0.23622047244094491" top="0.74803149606299213" bottom="0.74803149606299213" header="0.31496062992125984" footer="0.31496062992125984"/>
  <pageSetup paperSize="9" scale="54" orientation="landscape" r:id="rId1"/>
  <rowBreaks count="1" manualBreakCount="1">
    <brk id="19" max="12"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0"/>
  <sheetViews>
    <sheetView showGridLines="0" zoomScale="80" zoomScaleNormal="80" workbookViewId="0">
      <pane ySplit="10" topLeftCell="A11" activePane="bottomLeft" state="frozen"/>
      <selection activeCell="E59" sqref="E59"/>
      <selection pane="bottomLeft" activeCell="A11" sqref="A11"/>
    </sheetView>
  </sheetViews>
  <sheetFormatPr defaultRowHeight="15" outlineLevelRow="1" outlineLevelCol="1" x14ac:dyDescent="0.25"/>
  <cols>
    <col min="1" max="1" width="1.42578125" customWidth="1"/>
    <col min="2" max="2" width="10.5703125" bestFit="1" customWidth="1"/>
    <col min="3" max="3" width="19.85546875" style="1" customWidth="1"/>
    <col min="4" max="4" width="16" customWidth="1"/>
    <col min="5" max="5" width="68.42578125" customWidth="1" outlineLevel="1"/>
    <col min="6" max="6" width="16.7109375" customWidth="1" outlineLevel="1"/>
    <col min="7" max="7" width="20.5703125" customWidth="1" outlineLevel="1"/>
    <col min="8" max="8" width="16.7109375" customWidth="1" outlineLevel="1"/>
    <col min="9" max="9" width="19" customWidth="1"/>
    <col min="10" max="10" width="1.140625" style="87" customWidth="1"/>
    <col min="11" max="11" width="8.42578125" customWidth="1" outlineLevel="1"/>
    <col min="12" max="12" width="10.85546875" customWidth="1" outlineLevel="1"/>
    <col min="13" max="13" width="63" customWidth="1" outlineLevel="1"/>
  </cols>
  <sheetData>
    <row r="1" spans="1:13" x14ac:dyDescent="0.25">
      <c r="A1" s="4" t="s">
        <v>154</v>
      </c>
      <c r="F1" s="3"/>
      <c r="G1" s="3"/>
      <c r="H1" s="3"/>
    </row>
    <row r="2" spans="1:13" ht="15" customHeight="1" x14ac:dyDescent="0.25">
      <c r="A2" s="32" t="s">
        <v>259</v>
      </c>
      <c r="F2" s="137" t="s">
        <v>32</v>
      </c>
      <c r="G2" s="138"/>
      <c r="H2" s="139"/>
    </row>
    <row r="3" spans="1:13" x14ac:dyDescent="0.25">
      <c r="A3" s="32" t="s">
        <v>153</v>
      </c>
      <c r="E3" s="28" t="s">
        <v>38</v>
      </c>
      <c r="F3" s="29" t="s">
        <v>33</v>
      </c>
      <c r="G3" s="30" t="s">
        <v>260</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261</v>
      </c>
      <c r="G6" s="143"/>
      <c r="H6" s="146"/>
    </row>
    <row r="7" spans="1:13" x14ac:dyDescent="0.25">
      <c r="A7" s="4"/>
      <c r="E7" s="140"/>
      <c r="F7" s="7" t="s">
        <v>102</v>
      </c>
      <c r="G7" s="144"/>
      <c r="H7" s="147"/>
    </row>
    <row r="8" spans="1:13" x14ac:dyDescent="0.25">
      <c r="A8" s="4"/>
      <c r="E8" s="33"/>
      <c r="G8" s="37"/>
      <c r="H8" s="38"/>
      <c r="I8" s="45"/>
    </row>
    <row r="10" spans="1:13" s="113" customFormat="1" ht="32.25" customHeight="1" x14ac:dyDescent="0.25">
      <c r="B10" s="114" t="s">
        <v>0</v>
      </c>
      <c r="C10" s="114" t="s">
        <v>2</v>
      </c>
      <c r="D10" s="114" t="s">
        <v>6</v>
      </c>
      <c r="E10" s="114" t="s">
        <v>11</v>
      </c>
      <c r="F10" s="141" t="s">
        <v>12</v>
      </c>
      <c r="G10" s="141"/>
      <c r="H10" s="141"/>
      <c r="I10" s="115" t="s">
        <v>13</v>
      </c>
      <c r="J10" s="111"/>
      <c r="K10" s="115" t="s">
        <v>19</v>
      </c>
      <c r="L10" s="114" t="s">
        <v>4</v>
      </c>
      <c r="M10" s="114" t="s">
        <v>25</v>
      </c>
    </row>
    <row r="11" spans="1:13" ht="105" outlineLevel="1" x14ac:dyDescent="0.25">
      <c r="B11" s="168" t="s">
        <v>262</v>
      </c>
      <c r="C11" s="125" t="s">
        <v>263</v>
      </c>
      <c r="D11" s="133" t="s">
        <v>7</v>
      </c>
      <c r="E11" s="16" t="s">
        <v>264</v>
      </c>
      <c r="F11" s="17" t="s">
        <v>265</v>
      </c>
      <c r="G11" s="17" t="s">
        <v>266</v>
      </c>
      <c r="H11" s="17" t="s">
        <v>267</v>
      </c>
      <c r="I11" s="17" t="s">
        <v>268</v>
      </c>
      <c r="J11" s="88" t="s">
        <v>960</v>
      </c>
      <c r="K11" s="8" t="s">
        <v>17</v>
      </c>
      <c r="L11" s="15">
        <v>1</v>
      </c>
      <c r="M11" s="16" t="s">
        <v>269</v>
      </c>
    </row>
    <row r="12" spans="1:13" ht="105" outlineLevel="1" x14ac:dyDescent="0.25">
      <c r="B12" s="168"/>
      <c r="C12" s="125"/>
      <c r="D12" s="133"/>
      <c r="E12" s="16" t="s">
        <v>347</v>
      </c>
      <c r="F12" s="7"/>
      <c r="G12" s="7"/>
      <c r="H12" s="7"/>
      <c r="I12" s="8" t="s">
        <v>14</v>
      </c>
      <c r="J12" s="88" t="s">
        <v>961</v>
      </c>
      <c r="K12" s="8" t="s">
        <v>18</v>
      </c>
      <c r="L12" s="15">
        <v>2</v>
      </c>
      <c r="M12" s="16" t="s">
        <v>270</v>
      </c>
    </row>
    <row r="13" spans="1:13" ht="105" outlineLevel="1" x14ac:dyDescent="0.25">
      <c r="B13" s="168"/>
      <c r="C13" s="125"/>
      <c r="D13" s="133"/>
      <c r="E13" s="16" t="s">
        <v>348</v>
      </c>
      <c r="F13" s="7"/>
      <c r="G13" s="7"/>
      <c r="H13" s="7"/>
      <c r="I13" s="8" t="s">
        <v>14</v>
      </c>
      <c r="J13" s="88" t="s">
        <v>962</v>
      </c>
      <c r="K13" s="8" t="s">
        <v>18</v>
      </c>
      <c r="L13" s="15">
        <v>3</v>
      </c>
      <c r="M13" s="16" t="s">
        <v>271</v>
      </c>
    </row>
    <row r="14" spans="1:13" outlineLevel="1" x14ac:dyDescent="0.25">
      <c r="B14" s="168"/>
      <c r="C14" s="125"/>
      <c r="D14" s="133"/>
      <c r="E14" s="16" t="s">
        <v>349</v>
      </c>
      <c r="F14" s="7"/>
      <c r="G14" s="7"/>
      <c r="H14" s="7"/>
      <c r="I14" s="8" t="s">
        <v>14</v>
      </c>
      <c r="J14" s="88"/>
    </row>
    <row r="15" spans="1:13" outlineLevel="1" x14ac:dyDescent="0.25">
      <c r="B15" s="168"/>
      <c r="C15" s="125"/>
      <c r="D15" s="133"/>
      <c r="E15" s="18" t="s">
        <v>24</v>
      </c>
      <c r="F15" s="12">
        <f>COUNTIF(F12:F14,"Sim")</f>
        <v>0</v>
      </c>
      <c r="G15" s="12">
        <f>COUNTIF(G12:H14,"Sim")</f>
        <v>0</v>
      </c>
      <c r="H15" s="9" t="s">
        <v>14</v>
      </c>
      <c r="I15" s="9" t="s">
        <v>14</v>
      </c>
      <c r="J15" s="88"/>
    </row>
    <row r="16" spans="1:13" x14ac:dyDescent="0.25">
      <c r="A16" s="94" t="str">
        <f>B11</f>
        <v>MP096</v>
      </c>
      <c r="B16" s="133"/>
      <c r="C16" s="125"/>
      <c r="D16" s="133"/>
      <c r="E16" s="19" t="s">
        <v>22</v>
      </c>
      <c r="F16" s="24" t="str">
        <f>IF(F15=3,"Nível 2 ou 3","Nível 1")</f>
        <v>Nível 1</v>
      </c>
      <c r="G16" s="24" t="str">
        <f>IF(G15=6,"Nível 3","Nível 2")</f>
        <v>Nível 2</v>
      </c>
      <c r="H16" s="9" t="s">
        <v>14</v>
      </c>
      <c r="I16" s="25" t="str">
        <f>IF(F16="Nível 1",F16,G16)</f>
        <v>Nível 1</v>
      </c>
    </row>
    <row r="17" spans="1:13" x14ac:dyDescent="0.25">
      <c r="A17" s="94"/>
    </row>
    <row r="18" spans="1:13" ht="105" outlineLevel="1" x14ac:dyDescent="0.25">
      <c r="A18" s="94"/>
      <c r="B18" s="133" t="s">
        <v>272</v>
      </c>
      <c r="C18" s="125" t="s">
        <v>263</v>
      </c>
      <c r="D18" s="133" t="s">
        <v>7</v>
      </c>
      <c r="E18" s="131" t="s">
        <v>273</v>
      </c>
      <c r="F18" s="17" t="s">
        <v>350</v>
      </c>
      <c r="G18" s="17" t="s">
        <v>274</v>
      </c>
      <c r="H18" s="17" t="s">
        <v>275</v>
      </c>
      <c r="I18" s="17" t="s">
        <v>268</v>
      </c>
      <c r="J18" s="109" t="s">
        <v>963</v>
      </c>
      <c r="K18" s="8" t="s">
        <v>17</v>
      </c>
      <c r="L18" s="15">
        <v>1</v>
      </c>
      <c r="M18" s="16" t="s">
        <v>276</v>
      </c>
    </row>
    <row r="19" spans="1:13" ht="60" outlineLevel="1" x14ac:dyDescent="0.25">
      <c r="A19" s="94"/>
      <c r="B19" s="133"/>
      <c r="C19" s="125"/>
      <c r="D19" s="133"/>
      <c r="E19" s="132"/>
      <c r="F19" s="7"/>
      <c r="G19" s="7"/>
      <c r="H19" s="7"/>
      <c r="I19" s="8" t="s">
        <v>14</v>
      </c>
      <c r="J19" s="87" t="s">
        <v>964</v>
      </c>
      <c r="K19" s="8" t="s">
        <v>17</v>
      </c>
      <c r="L19" s="15">
        <v>2</v>
      </c>
      <c r="M19" s="16" t="s">
        <v>277</v>
      </c>
    </row>
    <row r="20" spans="1:13" ht="30" outlineLevel="1" x14ac:dyDescent="0.25">
      <c r="A20" s="94"/>
      <c r="B20" s="133"/>
      <c r="C20" s="125"/>
      <c r="D20" s="133"/>
      <c r="E20" s="18" t="s">
        <v>24</v>
      </c>
      <c r="F20" s="12">
        <f>COUNTIF(F19,"Sim")</f>
        <v>0</v>
      </c>
      <c r="G20" s="12">
        <f>COUNTIF(G19:H19,"Sim")</f>
        <v>0</v>
      </c>
      <c r="H20" s="9" t="s">
        <v>14</v>
      </c>
      <c r="I20" s="9" t="s">
        <v>14</v>
      </c>
      <c r="J20" s="87" t="s">
        <v>965</v>
      </c>
      <c r="K20" s="8" t="s">
        <v>17</v>
      </c>
      <c r="L20" s="15">
        <v>3</v>
      </c>
      <c r="M20" s="16" t="s">
        <v>278</v>
      </c>
    </row>
    <row r="21" spans="1:13" ht="45" x14ac:dyDescent="0.25">
      <c r="A21" s="94" t="str">
        <f>B18</f>
        <v>MP097</v>
      </c>
      <c r="B21" s="133"/>
      <c r="C21" s="125"/>
      <c r="D21" s="133"/>
      <c r="E21" s="19" t="s">
        <v>22</v>
      </c>
      <c r="F21" s="24" t="str">
        <f>IF(F20=1,"Nível 2 ou 3","Nível 1")</f>
        <v>Nível 1</v>
      </c>
      <c r="G21" s="24" t="str">
        <f>IF(G20=2,"Nível 3","Nível 2")</f>
        <v>Nível 2</v>
      </c>
      <c r="H21" s="8" t="s">
        <v>14</v>
      </c>
      <c r="I21" s="25" t="str">
        <f>IF(F21="Nível 1",F21,G21)</f>
        <v>Nível 1</v>
      </c>
      <c r="J21" s="87" t="s">
        <v>966</v>
      </c>
      <c r="K21" s="8" t="s">
        <v>18</v>
      </c>
      <c r="L21" s="15">
        <v>4</v>
      </c>
      <c r="M21" s="16" t="s">
        <v>279</v>
      </c>
    </row>
    <row r="22" spans="1:13" ht="30" outlineLevel="1" x14ac:dyDescent="0.25">
      <c r="A22" s="94"/>
      <c r="F22" s="37"/>
      <c r="G22" s="37"/>
      <c r="H22" s="37"/>
      <c r="I22" s="38"/>
      <c r="J22" s="87" t="s">
        <v>967</v>
      </c>
      <c r="K22" s="8" t="s">
        <v>18</v>
      </c>
      <c r="L22" s="15">
        <v>5</v>
      </c>
      <c r="M22" s="16" t="s">
        <v>280</v>
      </c>
    </row>
    <row r="23" spans="1:13" outlineLevel="1" x14ac:dyDescent="0.25">
      <c r="A23" s="94"/>
      <c r="F23" s="37"/>
      <c r="G23" s="37"/>
      <c r="H23" s="37"/>
      <c r="I23" s="38"/>
    </row>
    <row r="24" spans="1:13" x14ac:dyDescent="0.25">
      <c r="A24" s="94"/>
    </row>
    <row r="25" spans="1:13" ht="105" outlineLevel="1" x14ac:dyDescent="0.25">
      <c r="A25" s="94"/>
      <c r="B25" s="133" t="s">
        <v>281</v>
      </c>
      <c r="C25" s="125" t="s">
        <v>263</v>
      </c>
      <c r="D25" s="133" t="s">
        <v>7</v>
      </c>
      <c r="E25" s="131" t="s">
        <v>282</v>
      </c>
      <c r="F25" s="17" t="s">
        <v>352</v>
      </c>
      <c r="G25" s="17" t="s">
        <v>351</v>
      </c>
      <c r="H25" s="17" t="s">
        <v>275</v>
      </c>
      <c r="I25" s="17" t="s">
        <v>268</v>
      </c>
      <c r="J25" s="109" t="s">
        <v>968</v>
      </c>
      <c r="K25" s="8" t="s">
        <v>17</v>
      </c>
      <c r="L25" s="15">
        <v>1</v>
      </c>
      <c r="M25" s="16" t="s">
        <v>283</v>
      </c>
    </row>
    <row r="26" spans="1:13" ht="45" outlineLevel="1" x14ac:dyDescent="0.25">
      <c r="A26" s="94"/>
      <c r="B26" s="133"/>
      <c r="C26" s="125"/>
      <c r="D26" s="133"/>
      <c r="E26" s="132"/>
      <c r="F26" s="7"/>
      <c r="G26" s="7"/>
      <c r="H26" s="7"/>
      <c r="I26" s="8" t="s">
        <v>14</v>
      </c>
      <c r="J26" s="87" t="s">
        <v>969</v>
      </c>
      <c r="K26" s="8" t="s">
        <v>18</v>
      </c>
      <c r="L26" s="15">
        <v>2</v>
      </c>
      <c r="M26" s="16" t="s">
        <v>284</v>
      </c>
    </row>
    <row r="27" spans="1:13" outlineLevel="1" x14ac:dyDescent="0.25">
      <c r="A27" s="94"/>
      <c r="B27" s="133"/>
      <c r="C27" s="125"/>
      <c r="D27" s="133"/>
      <c r="E27" s="18" t="s">
        <v>24</v>
      </c>
      <c r="F27" s="12">
        <f>COUNTIF(F26,"Sim")</f>
        <v>0</v>
      </c>
      <c r="G27" s="12">
        <f>COUNTIF(G26:H26,"Sim")</f>
        <v>0</v>
      </c>
      <c r="H27" s="9" t="s">
        <v>14</v>
      </c>
      <c r="I27" s="9" t="s">
        <v>14</v>
      </c>
      <c r="K27" s="39"/>
      <c r="L27" s="40"/>
      <c r="M27" s="41"/>
    </row>
    <row r="28" spans="1:13" x14ac:dyDescent="0.25">
      <c r="A28" s="94" t="str">
        <f>B25</f>
        <v>MP098</v>
      </c>
      <c r="B28" s="133"/>
      <c r="C28" s="125"/>
      <c r="D28" s="133"/>
      <c r="E28" s="19" t="s">
        <v>22</v>
      </c>
      <c r="F28" s="24" t="str">
        <f>IF(F27=1,"Nível 2 ou 3","Nível 1")</f>
        <v>Nível 1</v>
      </c>
      <c r="G28" s="24" t="str">
        <f>IF(G27=2,"Nível 3","Nível 2")</f>
        <v>Nível 2</v>
      </c>
      <c r="H28" s="9" t="s">
        <v>14</v>
      </c>
      <c r="I28" s="25" t="str">
        <f>IF(F28="Nível 1",F28,G28)</f>
        <v>Nível 1</v>
      </c>
    </row>
    <row r="29" spans="1:13" x14ac:dyDescent="0.25">
      <c r="A29" s="94"/>
    </row>
    <row r="30" spans="1:13" ht="150" outlineLevel="1" x14ac:dyDescent="0.25">
      <c r="A30" s="94"/>
      <c r="B30" s="134" t="s">
        <v>285</v>
      </c>
      <c r="C30" s="150" t="s">
        <v>263</v>
      </c>
      <c r="D30" s="134" t="s">
        <v>7</v>
      </c>
      <c r="E30" s="131" t="s">
        <v>353</v>
      </c>
      <c r="F30" s="17" t="s">
        <v>286</v>
      </c>
      <c r="G30" s="8" t="s">
        <v>14</v>
      </c>
      <c r="H30" s="8" t="s">
        <v>14</v>
      </c>
      <c r="I30" s="17" t="s">
        <v>268</v>
      </c>
      <c r="J30" s="87" t="s">
        <v>970</v>
      </c>
      <c r="K30" s="8" t="s">
        <v>17</v>
      </c>
      <c r="L30" s="15">
        <v>1</v>
      </c>
      <c r="M30" s="16" t="s">
        <v>354</v>
      </c>
    </row>
    <row r="31" spans="1:13" ht="105" outlineLevel="1" x14ac:dyDescent="0.25">
      <c r="A31" s="94"/>
      <c r="B31" s="135"/>
      <c r="C31" s="151"/>
      <c r="D31" s="135"/>
      <c r="E31" s="132"/>
      <c r="F31" s="7"/>
      <c r="G31" s="8" t="s">
        <v>14</v>
      </c>
      <c r="H31" s="8" t="s">
        <v>14</v>
      </c>
      <c r="I31" s="8" t="s">
        <v>14</v>
      </c>
      <c r="J31" s="90" t="s">
        <v>971</v>
      </c>
      <c r="K31" s="8" t="s">
        <v>17</v>
      </c>
      <c r="L31" s="15">
        <v>2</v>
      </c>
      <c r="M31" s="16" t="s">
        <v>287</v>
      </c>
    </row>
    <row r="32" spans="1:13" ht="67.5" customHeight="1" x14ac:dyDescent="0.25">
      <c r="A32" s="94" t="str">
        <f>B30</f>
        <v>MP099</v>
      </c>
      <c r="B32" s="136"/>
      <c r="C32" s="152"/>
      <c r="D32" s="136"/>
      <c r="E32" s="19" t="s">
        <v>22</v>
      </c>
      <c r="F32" s="24" t="str">
        <f>IF(F31="Sim","Nível 3","Nível 1")</f>
        <v>Nível 1</v>
      </c>
      <c r="G32" s="8" t="str">
        <f>IF(F31="Parcialmente","Nível 2","Nível 1")</f>
        <v>Nível 1</v>
      </c>
      <c r="H32" s="9" t="s">
        <v>14</v>
      </c>
      <c r="I32" s="25" t="str">
        <f>IF(F32="Nível 3",F32,G32)</f>
        <v>Nível 1</v>
      </c>
      <c r="J32" s="87" t="s">
        <v>972</v>
      </c>
      <c r="K32" s="8" t="s">
        <v>18</v>
      </c>
      <c r="L32" s="15">
        <v>3</v>
      </c>
      <c r="M32" s="16" t="s">
        <v>288</v>
      </c>
    </row>
    <row r="33" spans="1:13" x14ac:dyDescent="0.25">
      <c r="A33" s="94"/>
    </row>
    <row r="34" spans="1:13" ht="105" outlineLevel="1" x14ac:dyDescent="0.25">
      <c r="A34" s="94"/>
      <c r="B34" s="134" t="s">
        <v>289</v>
      </c>
      <c r="C34" s="150" t="s">
        <v>263</v>
      </c>
      <c r="D34" s="134" t="s">
        <v>7</v>
      </c>
      <c r="E34" s="131" t="s">
        <v>290</v>
      </c>
      <c r="F34" s="17" t="s">
        <v>355</v>
      </c>
      <c r="G34" s="17" t="s">
        <v>356</v>
      </c>
      <c r="H34" s="8" t="s">
        <v>14</v>
      </c>
      <c r="I34" s="17" t="s">
        <v>268</v>
      </c>
      <c r="J34" s="109" t="s">
        <v>973</v>
      </c>
      <c r="K34" s="8" t="s">
        <v>17</v>
      </c>
      <c r="L34" s="15">
        <v>1</v>
      </c>
      <c r="M34" s="16" t="s">
        <v>291</v>
      </c>
    </row>
    <row r="35" spans="1:13" ht="45" outlineLevel="1" x14ac:dyDescent="0.25">
      <c r="A35" s="94"/>
      <c r="B35" s="135"/>
      <c r="C35" s="151"/>
      <c r="D35" s="135"/>
      <c r="E35" s="132"/>
      <c r="F35" s="7"/>
      <c r="G35" s="7"/>
      <c r="H35" s="8" t="s">
        <v>14</v>
      </c>
      <c r="I35" s="8" t="s">
        <v>14</v>
      </c>
      <c r="J35" s="87" t="s">
        <v>974</v>
      </c>
      <c r="K35" s="8" t="s">
        <v>18</v>
      </c>
      <c r="L35" s="15">
        <v>2</v>
      </c>
      <c r="M35" s="16" t="s">
        <v>292</v>
      </c>
    </row>
    <row r="36" spans="1:13" x14ac:dyDescent="0.25">
      <c r="A36" s="94" t="str">
        <f>B34</f>
        <v>MP100</v>
      </c>
      <c r="B36" s="136"/>
      <c r="C36" s="152"/>
      <c r="D36" s="136"/>
      <c r="E36" s="19" t="s">
        <v>22</v>
      </c>
      <c r="F36" s="24" t="str">
        <f>IF(F35="Sim","Nível 2 ou 3","Nível 1")</f>
        <v>Nível 1</v>
      </c>
      <c r="G36" s="24" t="str">
        <f>IF(G35="Sim","Nível 3","Nível 2")</f>
        <v>Nível 2</v>
      </c>
      <c r="H36" s="8" t="s">
        <v>14</v>
      </c>
      <c r="I36" s="25" t="str">
        <f>IF(F36="Nível 1",F36,G36)</f>
        <v>Nível 1</v>
      </c>
    </row>
    <row r="37" spans="1:13" x14ac:dyDescent="0.25">
      <c r="A37" s="94"/>
    </row>
    <row r="38" spans="1:13" ht="120" outlineLevel="1" x14ac:dyDescent="0.25">
      <c r="A38" s="94"/>
      <c r="B38" s="134" t="s">
        <v>293</v>
      </c>
      <c r="C38" s="150" t="s">
        <v>263</v>
      </c>
      <c r="D38" s="134" t="s">
        <v>51</v>
      </c>
      <c r="E38" s="131" t="s">
        <v>294</v>
      </c>
      <c r="F38" s="17" t="s">
        <v>295</v>
      </c>
      <c r="G38" s="8" t="s">
        <v>14</v>
      </c>
      <c r="H38" s="8" t="s">
        <v>14</v>
      </c>
      <c r="I38" s="17" t="s">
        <v>268</v>
      </c>
      <c r="J38" s="87" t="s">
        <v>975</v>
      </c>
      <c r="K38" s="8" t="s">
        <v>17</v>
      </c>
      <c r="L38" s="15">
        <v>1</v>
      </c>
      <c r="M38" s="16" t="s">
        <v>296</v>
      </c>
    </row>
    <row r="39" spans="1:13" outlineLevel="1" x14ac:dyDescent="0.25">
      <c r="A39" s="94"/>
      <c r="B39" s="135"/>
      <c r="C39" s="151"/>
      <c r="D39" s="135"/>
      <c r="E39" s="132"/>
      <c r="F39" s="7"/>
      <c r="G39" s="8" t="s">
        <v>14</v>
      </c>
      <c r="H39" s="8" t="s">
        <v>14</v>
      </c>
      <c r="I39" s="8" t="s">
        <v>14</v>
      </c>
    </row>
    <row r="40" spans="1:13" x14ac:dyDescent="0.25">
      <c r="A40" s="94" t="str">
        <f>B38</f>
        <v>MP101</v>
      </c>
      <c r="B40" s="136"/>
      <c r="C40" s="152"/>
      <c r="D40" s="136"/>
      <c r="E40" s="19" t="s">
        <v>22</v>
      </c>
      <c r="F40" s="24" t="str">
        <f>IF(F39="Sim","Nível 3","Nível 1")</f>
        <v>Nível 1</v>
      </c>
      <c r="G40" s="8" t="s">
        <v>14</v>
      </c>
      <c r="H40" s="8" t="s">
        <v>14</v>
      </c>
      <c r="I40" s="25" t="str">
        <f>F40</f>
        <v>Nível 1</v>
      </c>
    </row>
  </sheetData>
  <mergeCells count="28">
    <mergeCell ref="E18:E19"/>
    <mergeCell ref="E25:E26"/>
    <mergeCell ref="E30:E31"/>
    <mergeCell ref="E34:E35"/>
    <mergeCell ref="E38:E39"/>
    <mergeCell ref="B11:B16"/>
    <mergeCell ref="C11:C16"/>
    <mergeCell ref="D11:D16"/>
    <mergeCell ref="F2:H2"/>
    <mergeCell ref="E4:E7"/>
    <mergeCell ref="G4:G7"/>
    <mergeCell ref="H4:H7"/>
    <mergeCell ref="F10:H10"/>
    <mergeCell ref="B18:B21"/>
    <mergeCell ref="C18:C21"/>
    <mergeCell ref="D18:D21"/>
    <mergeCell ref="B25:B28"/>
    <mergeCell ref="C25:C28"/>
    <mergeCell ref="D25:D28"/>
    <mergeCell ref="B38:B40"/>
    <mergeCell ref="C38:C40"/>
    <mergeCell ref="D38:D40"/>
    <mergeCell ref="B30:B32"/>
    <mergeCell ref="C30:C32"/>
    <mergeCell ref="D30:D32"/>
    <mergeCell ref="B34:B36"/>
    <mergeCell ref="C34:C36"/>
    <mergeCell ref="D34:D36"/>
  </mergeCells>
  <pageMargins left="0.23622047244094491" right="0.23622047244094491" top="0.74803149606299213" bottom="0.74803149606299213" header="0.31496062992125984" footer="0.31496062992125984"/>
  <pageSetup paperSize="9" scale="52" orientation="landscape" r:id="rId1"/>
  <rowBreaks count="1" manualBreakCount="1">
    <brk id="24" max="12"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0"/>
  <sheetViews>
    <sheetView showGridLines="0" zoomScale="80" zoomScaleNormal="80" workbookViewId="0">
      <pane ySplit="8" topLeftCell="A9" activePane="bottomLeft" state="frozen"/>
      <selection activeCell="E59" sqref="E59"/>
      <selection pane="bottomLeft" activeCell="A9" sqref="A9"/>
    </sheetView>
  </sheetViews>
  <sheetFormatPr defaultRowHeight="15" outlineLevelRow="1" outlineLevelCol="1" x14ac:dyDescent="0.25"/>
  <cols>
    <col min="1" max="1" width="1.42578125" customWidth="1"/>
    <col min="2" max="2" width="10.5703125" bestFit="1" customWidth="1"/>
    <col min="3" max="3" width="22" customWidth="1"/>
    <col min="4" max="4" width="15.5703125" bestFit="1" customWidth="1"/>
    <col min="5" max="5" width="68.42578125" customWidth="1" outlineLevel="1"/>
    <col min="6" max="6" width="41.42578125" customWidth="1" outlineLevel="1"/>
    <col min="7" max="7" width="39.5703125" customWidth="1" outlineLevel="1"/>
    <col min="8" max="8" width="14.42578125" bestFit="1" customWidth="1" outlineLevel="1"/>
    <col min="9" max="9" width="19" customWidth="1"/>
    <col min="10" max="10" width="1.42578125" style="87" customWidth="1"/>
    <col min="11" max="11" width="8.42578125" customWidth="1" outlineLevel="1"/>
    <col min="12" max="12" width="9.140625" customWidth="1" outlineLevel="1"/>
    <col min="13" max="13" width="86.42578125" customWidth="1" outlineLevel="1"/>
  </cols>
  <sheetData>
    <row r="1" spans="1:13" x14ac:dyDescent="0.25">
      <c r="A1" s="4" t="s">
        <v>154</v>
      </c>
      <c r="F1" s="3"/>
      <c r="G1" s="3"/>
      <c r="H1" s="3"/>
    </row>
    <row r="2" spans="1:13" x14ac:dyDescent="0.25">
      <c r="A2" s="32" t="s">
        <v>464</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c r="G6" s="143"/>
      <c r="H6" s="146"/>
    </row>
    <row r="7" spans="1:13" x14ac:dyDescent="0.25">
      <c r="A7" s="4"/>
      <c r="E7" s="140"/>
      <c r="F7" s="7" t="s">
        <v>102</v>
      </c>
      <c r="G7" s="144"/>
      <c r="H7" s="147"/>
    </row>
    <row r="9" spans="1:13" s="113" customFormat="1" ht="30" customHeight="1" x14ac:dyDescent="0.25">
      <c r="B9" s="114" t="s">
        <v>0</v>
      </c>
      <c r="C9" s="114" t="s">
        <v>2</v>
      </c>
      <c r="D9" s="114" t="s">
        <v>6</v>
      </c>
      <c r="E9" s="114" t="s">
        <v>11</v>
      </c>
      <c r="F9" s="141" t="s">
        <v>12</v>
      </c>
      <c r="G9" s="141"/>
      <c r="H9" s="141"/>
      <c r="I9" s="115" t="s">
        <v>13</v>
      </c>
      <c r="J9" s="111"/>
      <c r="K9" s="115" t="s">
        <v>19</v>
      </c>
      <c r="L9" s="114" t="s">
        <v>4</v>
      </c>
      <c r="M9" s="114" t="s">
        <v>25</v>
      </c>
    </row>
    <row r="10" spans="1:13" ht="176.25" customHeight="1" outlineLevel="1" x14ac:dyDescent="0.25">
      <c r="B10" s="133" t="s">
        <v>664</v>
      </c>
      <c r="C10" s="125" t="s">
        <v>459</v>
      </c>
      <c r="D10" s="133" t="s">
        <v>51</v>
      </c>
      <c r="E10" s="16" t="s">
        <v>667</v>
      </c>
      <c r="F10" s="43" t="s">
        <v>463</v>
      </c>
      <c r="G10" s="8" t="s">
        <v>14</v>
      </c>
      <c r="H10" s="8" t="s">
        <v>14</v>
      </c>
      <c r="I10" s="43" t="s">
        <v>40</v>
      </c>
      <c r="J10" s="88" t="s">
        <v>976</v>
      </c>
      <c r="K10" s="8" t="s">
        <v>17</v>
      </c>
      <c r="L10" s="15">
        <v>1</v>
      </c>
      <c r="M10" s="16" t="s">
        <v>666</v>
      </c>
    </row>
    <row r="11" spans="1:13" outlineLevel="1" x14ac:dyDescent="0.25">
      <c r="B11" s="133"/>
      <c r="C11" s="125"/>
      <c r="D11" s="133"/>
      <c r="E11" s="16" t="s">
        <v>462</v>
      </c>
      <c r="F11" s="7"/>
      <c r="G11" s="8" t="s">
        <v>14</v>
      </c>
      <c r="H11" s="8" t="s">
        <v>14</v>
      </c>
      <c r="I11" s="43"/>
      <c r="J11" s="88"/>
    </row>
    <row r="12" spans="1:13" outlineLevel="1" x14ac:dyDescent="0.25">
      <c r="B12" s="133"/>
      <c r="C12" s="125"/>
      <c r="D12" s="133"/>
      <c r="E12" s="16" t="s">
        <v>461</v>
      </c>
      <c r="F12" s="7"/>
      <c r="G12" s="8" t="s">
        <v>14</v>
      </c>
      <c r="H12" s="8" t="s">
        <v>14</v>
      </c>
      <c r="I12" s="43"/>
      <c r="J12" s="88"/>
    </row>
    <row r="13" spans="1:13" outlineLevel="1" x14ac:dyDescent="0.25">
      <c r="B13" s="133"/>
      <c r="C13" s="125"/>
      <c r="D13" s="133"/>
      <c r="E13" s="16" t="s">
        <v>460</v>
      </c>
      <c r="F13" s="7"/>
      <c r="G13" s="8" t="s">
        <v>14</v>
      </c>
      <c r="H13" s="8" t="s">
        <v>14</v>
      </c>
      <c r="I13" s="43"/>
      <c r="J13" s="88"/>
    </row>
    <row r="14" spans="1:13" outlineLevel="1" x14ac:dyDescent="0.25">
      <c r="B14" s="133"/>
      <c r="C14" s="125"/>
      <c r="D14" s="133"/>
      <c r="E14" s="18" t="s">
        <v>24</v>
      </c>
      <c r="F14" s="12">
        <f>COUNTIF(F10:F13,"Sim")</f>
        <v>0</v>
      </c>
      <c r="G14" s="8" t="s">
        <v>14</v>
      </c>
      <c r="H14" s="8" t="s">
        <v>14</v>
      </c>
      <c r="I14" s="9" t="s">
        <v>14</v>
      </c>
      <c r="J14" s="89"/>
    </row>
    <row r="15" spans="1:13" x14ac:dyDescent="0.25">
      <c r="A15" s="94" t="str">
        <f>B10</f>
        <v>MP102</v>
      </c>
      <c r="B15" s="133"/>
      <c r="C15" s="125"/>
      <c r="D15" s="133"/>
      <c r="E15" s="19" t="s">
        <v>22</v>
      </c>
      <c r="F15" s="13" t="str">
        <f>IF(F14=3,"Nível  3","Nível 1")</f>
        <v>Nível 1</v>
      </c>
      <c r="G15" s="8" t="s">
        <v>14</v>
      </c>
      <c r="H15" s="8" t="s">
        <v>14</v>
      </c>
      <c r="I15" s="14" t="str">
        <f>F15</f>
        <v>Nível 1</v>
      </c>
    </row>
    <row r="16" spans="1:13" x14ac:dyDescent="0.25">
      <c r="A16" s="94"/>
      <c r="C16" s="1"/>
    </row>
    <row r="17" spans="1:13" x14ac:dyDescent="0.25">
      <c r="A17" s="94"/>
      <c r="C17" s="1"/>
    </row>
    <row r="18" spans="1:13" ht="81" customHeight="1" outlineLevel="1" x14ac:dyDescent="0.25">
      <c r="A18" s="94"/>
      <c r="B18" s="133" t="s">
        <v>665</v>
      </c>
      <c r="C18" s="125" t="s">
        <v>459</v>
      </c>
      <c r="D18" s="133" t="s">
        <v>51</v>
      </c>
      <c r="E18" s="47" t="s">
        <v>668</v>
      </c>
      <c r="F18" s="43" t="s">
        <v>458</v>
      </c>
      <c r="G18" s="43" t="s">
        <v>457</v>
      </c>
      <c r="H18" s="8" t="s">
        <v>14</v>
      </c>
      <c r="I18" s="43" t="s">
        <v>40</v>
      </c>
      <c r="J18" s="88" t="s">
        <v>977</v>
      </c>
      <c r="K18" s="8" t="s">
        <v>17</v>
      </c>
      <c r="L18" s="15">
        <v>1</v>
      </c>
      <c r="M18" s="16" t="s">
        <v>669</v>
      </c>
    </row>
    <row r="19" spans="1:13" ht="105" outlineLevel="1" x14ac:dyDescent="0.25">
      <c r="A19" s="94"/>
      <c r="B19" s="133"/>
      <c r="C19" s="125"/>
      <c r="D19" s="133"/>
      <c r="E19" s="70" t="s">
        <v>671</v>
      </c>
      <c r="F19" s="7"/>
      <c r="G19" s="7"/>
      <c r="H19" s="8" t="s">
        <v>14</v>
      </c>
      <c r="I19" s="9" t="s">
        <v>14</v>
      </c>
      <c r="J19" s="89" t="s">
        <v>978</v>
      </c>
      <c r="K19" s="8" t="s">
        <v>18</v>
      </c>
      <c r="L19" s="15">
        <v>2</v>
      </c>
      <c r="M19" s="16" t="s">
        <v>670</v>
      </c>
    </row>
    <row r="20" spans="1:13" x14ac:dyDescent="0.25">
      <c r="A20" s="94" t="str">
        <f>B18</f>
        <v>MP103</v>
      </c>
      <c r="B20" s="133"/>
      <c r="C20" s="125"/>
      <c r="D20" s="133"/>
      <c r="E20" s="19" t="s">
        <v>22</v>
      </c>
      <c r="F20" s="24" t="str">
        <f>IF(F19="Sim","Nível 2 ou 3","Nível 1")</f>
        <v>Nível 1</v>
      </c>
      <c r="G20" s="24" t="str">
        <f>IF(G19="Sim","Nível 3","Nível 2 ")</f>
        <v xml:space="preserve">Nível 2 </v>
      </c>
      <c r="H20" s="8" t="s">
        <v>14</v>
      </c>
      <c r="I20" s="25" t="str">
        <f>IF(F20="Nível 1",F20,G20)</f>
        <v>Nível 1</v>
      </c>
    </row>
  </sheetData>
  <mergeCells count="11">
    <mergeCell ref="F2:H2"/>
    <mergeCell ref="E4:E7"/>
    <mergeCell ref="G4:G7"/>
    <mergeCell ref="H4:H7"/>
    <mergeCell ref="B18:B20"/>
    <mergeCell ref="C18:C20"/>
    <mergeCell ref="D18:D20"/>
    <mergeCell ref="B10:B15"/>
    <mergeCell ref="C10:C15"/>
    <mergeCell ref="D10:D15"/>
    <mergeCell ref="F9:H9"/>
  </mergeCells>
  <pageMargins left="0.23622047244094491" right="0.23622047244094491" top="0.74803149606299213" bottom="0.74803149606299213" header="0.31496062992125984" footer="0.31496062992125984"/>
  <pageSetup paperSize="9" scale="49"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106"/>
  <sheetViews>
    <sheetView showGridLines="0" view="pageLayout" zoomScale="80" zoomScaleNormal="70" zoomScalePageLayoutView="80" workbookViewId="0"/>
  </sheetViews>
  <sheetFormatPr defaultRowHeight="15" x14ac:dyDescent="0.25"/>
  <cols>
    <col min="1" max="1" width="2" style="95" customWidth="1"/>
    <col min="2" max="2" width="26.85546875" style="113" customWidth="1"/>
    <col min="3" max="3" width="12.28515625" style="95" customWidth="1"/>
    <col min="4" max="4" width="26.28515625" style="95" customWidth="1"/>
    <col min="5" max="9" width="37.7109375" style="95" customWidth="1"/>
    <col min="10" max="10" width="9.140625" style="95"/>
    <col min="11" max="11" width="13.140625" style="95" customWidth="1"/>
    <col min="12" max="16384" width="9.140625" style="95"/>
  </cols>
  <sheetData>
    <row r="1" spans="1:9" ht="15.75" thickBot="1" x14ac:dyDescent="0.3">
      <c r="A1" s="113"/>
      <c r="C1" s="113"/>
      <c r="D1" s="113"/>
      <c r="E1" s="113"/>
      <c r="F1" s="113"/>
      <c r="G1" s="113"/>
      <c r="H1" s="113"/>
      <c r="I1" s="113"/>
    </row>
    <row r="2" spans="1:9" x14ac:dyDescent="0.25">
      <c r="A2" s="113"/>
      <c r="B2" s="126" t="s">
        <v>2</v>
      </c>
      <c r="C2" s="123" t="s">
        <v>762</v>
      </c>
      <c r="D2" s="123" t="s">
        <v>19</v>
      </c>
      <c r="E2" s="123" t="s">
        <v>763</v>
      </c>
      <c r="F2" s="123"/>
      <c r="G2" s="123"/>
      <c r="H2" s="123"/>
      <c r="I2" s="124"/>
    </row>
    <row r="3" spans="1:9" x14ac:dyDescent="0.25">
      <c r="A3" s="113"/>
      <c r="B3" s="127"/>
      <c r="C3" s="125"/>
      <c r="D3" s="125"/>
      <c r="E3" s="104">
        <v>1</v>
      </c>
      <c r="F3" s="104">
        <v>2</v>
      </c>
      <c r="G3" s="104">
        <v>3</v>
      </c>
      <c r="H3" s="104">
        <v>4</v>
      </c>
      <c r="I3" s="101">
        <v>5</v>
      </c>
    </row>
    <row r="4" spans="1:9" ht="30" x14ac:dyDescent="0.25">
      <c r="A4" s="113"/>
      <c r="B4" s="105" t="s">
        <v>3</v>
      </c>
      <c r="C4" s="102" t="s">
        <v>1</v>
      </c>
      <c r="D4" s="96" t="str">
        <f>VLOOKUP(C4,Comercial!A:I,9,)</f>
        <v>Nível 1</v>
      </c>
      <c r="E4" s="96" t="str">
        <f>IFERROR(IF(VLOOKUP("MP001_1",Comercial!J:M,2,)=D4,VLOOKUP("MP001_1",Comercial!J:M,4,),"-"),"-")</f>
        <v>Priorizar elaboração de normativos compreendidos como mais relevantes.</v>
      </c>
      <c r="F4" s="96" t="str">
        <f>IFERROR(IF(VLOOKUP("MP001_2",Comercial!J:M,2,)=D4,VLOOKUP("MP001_2",Comercial!J:M,4,),"-"),"-")</f>
        <v>Elaboração dos demais normativos.</v>
      </c>
      <c r="G4" s="96" t="str">
        <f>IFERROR(IF(VLOOKUP("MP001_3",Comercial!J:M,2,)=D4,VLOOKUP("MP001_3",Comercial!J:M,4,),"-"),"-")</f>
        <v>-</v>
      </c>
      <c r="H4" s="96" t="str">
        <f>IFERROR(IF(VLOOKUP("MP001_4",Comercial!J:M,2,)=D4,VLOOKUP("MP001_4",Comercial!J:M,4,),"-"),"-")</f>
        <v>-</v>
      </c>
      <c r="I4" s="97" t="str">
        <f>IFERROR(IF(VLOOKUP("MP001_5",Comercial!J:M,2,)=D4,VLOOKUP("MP001_5",Comercial!J:M,4,),"-"),"-")</f>
        <v>-</v>
      </c>
    </row>
    <row r="5" spans="1:9" ht="75" x14ac:dyDescent="0.25">
      <c r="A5" s="113"/>
      <c r="B5" s="105" t="s">
        <v>3</v>
      </c>
      <c r="C5" s="102" t="s">
        <v>23</v>
      </c>
      <c r="D5" s="96" t="str">
        <f>VLOOKUP(C5,Comercial!A:I,9,)</f>
        <v>Nível 1</v>
      </c>
      <c r="E5" s="96" t="str">
        <f>IFERROR(IF(VLOOKUP("MP002_1",Comercial!J:M,2,)=D5,VLOOKUP("MP002_1",Comercial!J:M,4,),"-"),"-")</f>
        <v>Dentre as atividades destacadas para o processo de cadastro e classificação, levantar as que
são realizadas pelos mesmos profissionais ou áreas da empresa.</v>
      </c>
      <c r="F5" s="96" t="str">
        <f>IFERROR(IF(VLOOKUP("MP002_2",Comercial!J:M,2,)=D5,VLOOKUP("MP002_2",Comercial!J:M,4,),"-"),"-")</f>
        <v>Segregar parte das atividades realizadas em profissionais ou áreas distintas.</v>
      </c>
      <c r="G5" s="96" t="str">
        <f>IFERROR(IF(VLOOKUP("MP002_3",Comercial!J:M,2,)=D5,VLOOKUP("MP002_3",Comercial!J:M,4,),"-"),"-")</f>
        <v>-</v>
      </c>
      <c r="H5" s="96" t="str">
        <f>IFERROR(IF(VLOOKUP("MP002_4",Comercial!J:M,2,)=D5,VLOOKUP("MP002_4",Comercial!J:M,4,),"-"),"-")</f>
        <v>-</v>
      </c>
      <c r="I5" s="97" t="str">
        <f>IFERROR(IF(VLOOKUP("MP002_5",Comercial!J:M,2,)=D5,VLOOKUP("MP002_5",Comercial!J:M,4,),"-"),"-")</f>
        <v>-</v>
      </c>
    </row>
    <row r="6" spans="1:9" ht="105" x14ac:dyDescent="0.25">
      <c r="A6" s="113"/>
      <c r="B6" s="105" t="s">
        <v>3</v>
      </c>
      <c r="C6" s="102" t="s">
        <v>55</v>
      </c>
      <c r="D6" s="96" t="str">
        <f>VLOOKUP(C6,Comercial!A:I,9,)</f>
        <v>Nível 1</v>
      </c>
      <c r="E6" s="96" t="str">
        <f>IFERROR(IF(VLOOKUP("MP003_1",Comercial!J:M,2,)=D6,VLOOKUP("MP003_1",Comercial!J:M,4,),"-"),"-")</f>
        <v>Dentre as travas sistêmicas destacadas, devem ser selecionadas as que possuem maior
criticidade. Depois da priorização, efetuar parametrização no sistema para a realização de consistências automáticas.</v>
      </c>
      <c r="F6" s="96" t="str">
        <f>IFERROR(IF(VLOOKUP("MP003_2",Comercial!J:M,2,)=D6,VLOOKUP("MP003_2",Comercial!J:M,4,),"-"),"-")</f>
        <v>-</v>
      </c>
      <c r="G6" s="96" t="str">
        <f>IFERROR(IF(VLOOKUP("MP003_3",Comercial!J:M,2,)=D6,VLOOKUP("MP003_3",Comercial!J:M,4,),"-"),"-")</f>
        <v>-</v>
      </c>
      <c r="H6" s="96" t="str">
        <f>IFERROR(IF(VLOOKUP("MP003_4",Comercial!J:M,2,)=D6,VLOOKUP("MP003_4",Comercial!J:M,4,),"-"),"-")</f>
        <v>-</v>
      </c>
      <c r="I6" s="97" t="str">
        <f>IFERROR(IF(VLOOKUP("MP003_5",Comercial!J:M,2,)=D6,VLOOKUP("MP003_5",Comercial!J:M,4,),"-"),"-")</f>
        <v>-</v>
      </c>
    </row>
    <row r="7" spans="1:9" ht="75" x14ac:dyDescent="0.25">
      <c r="A7" s="113"/>
      <c r="B7" s="105" t="s">
        <v>3</v>
      </c>
      <c r="C7" s="102" t="s">
        <v>61</v>
      </c>
      <c r="D7" s="96" t="str">
        <f>VLOOKUP(C7,Comercial!A:I,9,)</f>
        <v>Nível 1</v>
      </c>
      <c r="E7" s="96" t="str">
        <f>IFERROR(IF(VLOOKUP("MP004_1",Comercial!J:M,2,)=D7,VLOOKUP("MP004_1",Comercial!J:M,4,),"-"),"-")</f>
        <v xml:space="preserve"> Efetuar parametrização no sistema para atualização cadastral automática, a partir do encerramento de ordens de serviços por parte de agentes fiscalizadores em campo</v>
      </c>
      <c r="F7" s="96" t="str">
        <f>IFERROR(IF(VLOOKUP("MP004_2",Comercial!J:M,2,)=D7,VLOOKUP("MP004_2",Comercial!J:M,4,),"-"),"-")</f>
        <v>-</v>
      </c>
      <c r="G7" s="96" t="str">
        <f>IFERROR(IF(VLOOKUP("MP004_3",Comercial!J:M,2,)=D7,VLOOKUP("MP004_3",Comercial!J:M,4,),"-"),"-")</f>
        <v>-</v>
      </c>
      <c r="H7" s="96" t="str">
        <f>IFERROR(IF(VLOOKUP("MP004_4",Comercial!J:M,2,)=D7,VLOOKUP("MP004_4",Comercial!J:M,4,),"-"),"-")</f>
        <v>-</v>
      </c>
      <c r="I7" s="97" t="str">
        <f>IFERROR(IF(VLOOKUP("MP004_5",Comercial!J:M,2,)=D7,VLOOKUP("MP004_5",Comercial!J:M,4,),"-"),"-")</f>
        <v>-</v>
      </c>
    </row>
    <row r="8" spans="1:9" ht="90" x14ac:dyDescent="0.25">
      <c r="A8" s="113"/>
      <c r="B8" s="105" t="s">
        <v>3</v>
      </c>
      <c r="C8" s="102" t="s">
        <v>65</v>
      </c>
      <c r="D8" s="96" t="str">
        <f>VLOOKUP(C8,Comercial!A:I,9,)</f>
        <v>Nível 1</v>
      </c>
      <c r="E8" s="96" t="str">
        <f>IFERROR(IF(VLOOKUP("MP005_1",Comercial!J:M,2,)=D8,VLOOKUP("MP005_1",Comercial!J:M,4,),"-"),"-")</f>
        <v>Efetuar parametrização no sistema para realização de consistências automáticas quando do cadastramento de clientes no benefício da Tarifa Social, conforme critérios definidos pelas entidades reguladoras.</v>
      </c>
      <c r="F8" s="96" t="str">
        <f>IFERROR(IF(VLOOKUP("MP005_2",Comercial!J:M,2,)=D8,VLOOKUP("MP005_2",Comercial!J:M,4,),"-"),"-")</f>
        <v>-</v>
      </c>
      <c r="G8" s="96" t="str">
        <f>IFERROR(IF(VLOOKUP("MP005_3",Comercial!J:M,2,)=D8,VLOOKUP("MP005_3",Comercial!J:M,4,),"-"),"-")</f>
        <v>-</v>
      </c>
      <c r="H8" s="96" t="str">
        <f>IFERROR(IF(VLOOKUP("MP005_4",Comercial!J:M,2,)=D8,VLOOKUP("MP005_4",Comercial!J:M,4,),"-"),"-")</f>
        <v>-</v>
      </c>
      <c r="I8" s="97" t="str">
        <f>IFERROR(IF(VLOOKUP("MP005_5",Comercial!J:M,2,)=D8,VLOOKUP("MP005_5",Comercial!J:M,4,),"-"),"-")</f>
        <v>-</v>
      </c>
    </row>
    <row r="9" spans="1:9" ht="60" x14ac:dyDescent="0.25">
      <c r="A9" s="113"/>
      <c r="B9" s="105" t="s">
        <v>3</v>
      </c>
      <c r="C9" s="102" t="s">
        <v>69</v>
      </c>
      <c r="D9" s="96" t="str">
        <f>VLOOKUP(C9,Comercial!A:I,9,)</f>
        <v>Nível 1</v>
      </c>
      <c r="E9" s="96" t="str">
        <f>IFERROR(IF(VLOOKUP("MP006_1",Comercial!J:M,2,)=D9,VLOOKUP("MP006_1",Comercial!J:M,4,),"-"),"-")</f>
        <v>Realizar análises críticas do cadastro conforme necessidade/ demanda.</v>
      </c>
      <c r="F9" s="96" t="str">
        <f>IFERROR(IF(VLOOKUP("MP006_2",Comercial!J:M,2,)=D9,VLOOKUP("MP006_2",Comercial!J:M,4,),"-"),"-")</f>
        <v>Definir procedimento para o monitoramento periódico da base cadastral, contemplando todas as análises aplicáveis a serem realizadas.</v>
      </c>
      <c r="G9" s="96" t="str">
        <f>IFERROR(IF(VLOOKUP("MP006_3",Comercial!J:M,2,)=D9,VLOOKUP("MP006_3",Comercial!J:M,4,),"-"),"-")</f>
        <v>-</v>
      </c>
      <c r="H9" s="96" t="str">
        <f>IFERROR(IF(VLOOKUP("MP006_4",Comercial!J:M,2,)=D9,VLOOKUP("MP006_4",Comercial!J:M,4,),"-"),"-")</f>
        <v>-</v>
      </c>
      <c r="I9" s="97" t="str">
        <f>IFERROR(IF(VLOOKUP("MP006_5",Comercial!J:M,2,)=D9,VLOOKUP("MP006_5",Comercial!J:M,4,),"-"),"-")</f>
        <v>-</v>
      </c>
    </row>
    <row r="10" spans="1:9" ht="75" x14ac:dyDescent="0.25">
      <c r="A10" s="113"/>
      <c r="B10" s="105" t="s">
        <v>3</v>
      </c>
      <c r="C10" s="102" t="s">
        <v>81</v>
      </c>
      <c r="D10" s="96" t="str">
        <f>VLOOKUP(C10,Comercial!A:I,9,)</f>
        <v>Nível 1</v>
      </c>
      <c r="E10" s="96" t="str">
        <f>IFERROR(IF(VLOOKUP("MP007_1",Comercial!J:M,2,)=D10,VLOOKUP("MP007_1",Comercial!J:M,4,),"-"),"-")</f>
        <v xml:space="preserve">Promover a hidrometração nas ligações que ainda não contam com micromedidores, de modo que o índice de hidrometração atinja o percentual de 80%. </v>
      </c>
      <c r="F10" s="96" t="str">
        <f>IFERROR(IF(VLOOKUP("MP007_2",Comercial!J:M,2,)=D10,VLOOKUP("MP007_2",Comercial!J:M,4,),"-"),"-")</f>
        <v>-</v>
      </c>
      <c r="G10" s="96" t="str">
        <f>IFERROR(IF(VLOOKUP("MP007_3",Comercial!J:M,2,)=D10,VLOOKUP("MP007_3",Comercial!J:M,4,),"-"),"-")</f>
        <v>-</v>
      </c>
      <c r="H10" s="96" t="str">
        <f>IFERROR(IF(VLOOKUP("MP007_4",Comercial!J:M,2,)=D10,VLOOKUP("MP007_4",Comercial!J:M,4,),"-"),"-")</f>
        <v>-</v>
      </c>
      <c r="I10" s="97" t="str">
        <f>IFERROR(IF(VLOOKUP("MP007_5",Comercial!J:M,2,)=D10,VLOOKUP("MP007_5",Comercial!J:M,4,),"-"),"-")</f>
        <v>-</v>
      </c>
    </row>
    <row r="11" spans="1:9" ht="45" x14ac:dyDescent="0.25">
      <c r="A11" s="113"/>
      <c r="B11" s="105" t="s">
        <v>3</v>
      </c>
      <c r="C11" s="102" t="s">
        <v>88</v>
      </c>
      <c r="D11" s="96" t="str">
        <f>VLOOKUP(C11,Comercial!A:I,9,)</f>
        <v>Nível 1</v>
      </c>
      <c r="E11" s="96" t="str">
        <f>IFERROR(IF(VLOOKUP("MP008_1",Comercial!J:M,2,)=D11,VLOOKUP("MP008_1",Comercial!J:M,4,),"-"),"-")</f>
        <v>Realizar o registro das datas de instalação e de verificação no cadastro de hidrômetros.</v>
      </c>
      <c r="F11" s="96" t="str">
        <f>IFERROR(IF(VLOOKUP("MP008_2",Comercial!J:M,2,)=D11,VLOOKUP("MP008_2",Comercial!J:M,4,),"-"),"-")</f>
        <v>Definir procedimento para verificação ou troca periódica dos hidrômetros.</v>
      </c>
      <c r="G11" s="96" t="str">
        <f>IFERROR(IF(VLOOKUP("MP008_3",Comercial!J:M,2,)=D11,VLOOKUP("MP008_3",Comercial!J:M,4,),"-"),"-")</f>
        <v>-</v>
      </c>
      <c r="H11" s="96" t="str">
        <f>IFERROR(IF(VLOOKUP("MP008_4",Comercial!J:M,2,)=D11,VLOOKUP("MP008_4",Comercial!J:M,4,),"-"),"-")</f>
        <v>-</v>
      </c>
      <c r="I11" s="97" t="str">
        <f>IFERROR(IF(VLOOKUP("MP008_5",Comercial!J:M,2,)=D11,VLOOKUP("MP008_5",Comercial!J:M,4,),"-"),"-")</f>
        <v>-</v>
      </c>
    </row>
    <row r="12" spans="1:9" ht="30" x14ac:dyDescent="0.25">
      <c r="A12" s="113"/>
      <c r="B12" s="105" t="s">
        <v>3</v>
      </c>
      <c r="C12" s="102" t="s">
        <v>94</v>
      </c>
      <c r="D12" s="96" t="str">
        <f>VLOOKUP(C12,Comercial!A:I,9,)</f>
        <v>Nível 1</v>
      </c>
      <c r="E12" s="96" t="str">
        <f>IFERROR(IF(VLOOKUP("MP009_1",Comercial!J:M,2,)=D12,VLOOKUP("MP009_1",Comercial!J:M,4,),"-"),"-")</f>
        <v>Priorizar elaboração de normativos compreendidos como mais relevantes.</v>
      </c>
      <c r="F12" s="96" t="str">
        <f>IFERROR(IF(VLOOKUP("MP009_2",Comercial!J:M,2,)=D12,VLOOKUP("MP009_2",Comercial!J:M,4,),"-"),"-")</f>
        <v>-</v>
      </c>
      <c r="G12" s="96" t="str">
        <f>IFERROR(IF(VLOOKUP("MP009_3",Comercial!J:M,2,)=D12,VLOOKUP("MP009_3",Comercial!J:M,4,),"-"),"-")</f>
        <v>-</v>
      </c>
      <c r="H12" s="96" t="str">
        <f>IFERROR(IF(VLOOKUP("MP009_4",Comercial!J:M,2,)=D12,VLOOKUP("MP009_4",Comercial!J:M,4,),"-"),"-")</f>
        <v>-</v>
      </c>
      <c r="I12" s="97" t="str">
        <f>IFERROR(IF(VLOOKUP("MP009_5",Comercial!J:M,2,)=D12,VLOOKUP("MP009_5",Comercial!J:M,4,),"-"),"-")</f>
        <v>-</v>
      </c>
    </row>
    <row r="13" spans="1:9" ht="105" x14ac:dyDescent="0.25">
      <c r="A13" s="113"/>
      <c r="B13" s="105" t="s">
        <v>3</v>
      </c>
      <c r="C13" s="102" t="s">
        <v>101</v>
      </c>
      <c r="D13" s="96" t="str">
        <f>VLOOKUP(C13,Comercial!A:I,9,)</f>
        <v>Nível 1</v>
      </c>
      <c r="E13" s="96" t="str">
        <f>IFERROR(IF(VLOOKUP("MP010_1",Comercial!J:M,2,)=D13,VLOOKUP("MP010_1",Comercial!J:M,4,),"-"),"-")</f>
        <v>Dentre as atividades destacadas, devem ser selecionadas as que possuem maior criticidade para a organização. Elaborar política indicando os níveis e limites de autoridade para as atividades priorizadas do processo de leitura e faturamento.</v>
      </c>
      <c r="F13" s="96" t="str">
        <f>IFERROR(IF(VLOOKUP("MP010_2",Comercial!J:M,2,)=D13,VLOOKUP("MP010_2",Comercial!J:M,4,),"-"),"-")</f>
        <v>-</v>
      </c>
      <c r="G13" s="96" t="str">
        <f>IFERROR(IF(VLOOKUP("MP010_3",Comercial!J:M,2,)=D13,VLOOKUP("MP010_3",Comercial!J:M,4,),"-"),"-")</f>
        <v>-</v>
      </c>
      <c r="H13" s="96" t="str">
        <f>IFERROR(IF(VLOOKUP("MP010_4",Comercial!J:M,2,)=D13,VLOOKUP("MP010_4",Comercial!J:M,4,),"-"),"-")</f>
        <v>-</v>
      </c>
      <c r="I13" s="97" t="str">
        <f>IFERROR(IF(VLOOKUP("MP010_5",Comercial!J:M,2,)=D13,VLOOKUP("MP010_5",Comercial!J:M,4,),"-"),"-")</f>
        <v>-</v>
      </c>
    </row>
    <row r="14" spans="1:9" ht="60" x14ac:dyDescent="0.25">
      <c r="A14" s="113"/>
      <c r="B14" s="105" t="s">
        <v>3</v>
      </c>
      <c r="C14" s="102" t="s">
        <v>109</v>
      </c>
      <c r="D14" s="96" t="str">
        <f>VLOOKUP(C14,Comercial!A:I,9,)</f>
        <v>Nível 2</v>
      </c>
      <c r="E14" s="96" t="str">
        <f>IFERROR(IF(VLOOKUP("MP011_1",Comercial!J:M,2,)=D14,VLOOKUP("MP011_1",Comercial!J:M,4,),"-"),"-")</f>
        <v>-</v>
      </c>
      <c r="F14" s="96" t="str">
        <f>IFERROR(IF(VLOOKUP("MP011_2",Comercial!J:M,2,)=D14,VLOOKUP("MP011_2",Comercial!J:M,4,),"-"),"-")</f>
        <v>Equipamentos devem atender a mais de 80% das medições</v>
      </c>
      <c r="G14" s="96" t="str">
        <f>IFERROR(IF(VLOOKUP("MP011_3",Comercial!J:M,2,)=D14,VLOOKUP("MP011_3",Comercial!J:M,4,),"-"),"-")</f>
        <v>Realizar parametrização para transmissão imediata dos dados de leitura para o sistema comercial para faturamento automático</v>
      </c>
      <c r="H14" s="96" t="str">
        <f>IFERROR(IF(VLOOKUP("MP011_4",Comercial!J:M,2,)=D14,VLOOKUP("MP011_4",Comercial!J:M,4,),"-"),"-")</f>
        <v>Desenvolver customização para crítica automática quando do input de valores não usuais (ex: muito superior ou inferior à média histórica).</v>
      </c>
      <c r="I14" s="97" t="str">
        <f>IFERROR(IF(VLOOKUP("MP011_5",Comercial!J:M,2,)=D14,VLOOKUP("MP011_5",Comercial!J:M,4,),"-"),"-")</f>
        <v>-</v>
      </c>
    </row>
    <row r="15" spans="1:9" ht="75" x14ac:dyDescent="0.25">
      <c r="A15" s="113"/>
      <c r="B15" s="105" t="s">
        <v>3</v>
      </c>
      <c r="C15" s="102" t="s">
        <v>118</v>
      </c>
      <c r="D15" s="96" t="str">
        <f>VLOOKUP(C15,Comercial!A:I,9,)</f>
        <v>Nível 1</v>
      </c>
      <c r="E15" s="96" t="str">
        <f>IFERROR(IF(VLOOKUP("MP012_1",Comercial!J:M,2,)=D15,VLOOKUP("MP012_1",Comercial!J:M,4,),"-"),"-")</f>
        <v>Realizar o cadastramento dos serviços e taxas vinculados às receitas indiretas no sistema comercial, permitindo que estes sejam faturados pela tabela de preço cadastrada no sistema.</v>
      </c>
      <c r="F15" s="96" t="str">
        <f>IFERROR(IF(VLOOKUP("MP012_2",Comercial!J:M,2,)=D15,VLOOKUP("MP012_2",Comercial!J:M,4,),"-"),"-")</f>
        <v>-</v>
      </c>
      <c r="G15" s="96" t="str">
        <f>IFERROR(IF(VLOOKUP("MP012_3",Comercial!J:M,2,)=D15,VLOOKUP("MP012_3",Comercial!J:M,4,),"-"),"-")</f>
        <v>-</v>
      </c>
      <c r="H15" s="96" t="str">
        <f>IFERROR(IF(VLOOKUP("MP012_4",Comercial!J:M,2,)=D15,VLOOKUP("MP012_4",Comercial!J:M,4,),"-"),"-")</f>
        <v>-</v>
      </c>
      <c r="I15" s="97" t="str">
        <f>IFERROR(IF(VLOOKUP("MP012_5",Comercial!J:M,2,)=D15,VLOOKUP("MP012_5",Comercial!J:M,4,),"-"),"-")</f>
        <v>-</v>
      </c>
    </row>
    <row r="16" spans="1:9" ht="60" x14ac:dyDescent="0.25">
      <c r="A16" s="113"/>
      <c r="B16" s="105" t="s">
        <v>3</v>
      </c>
      <c r="C16" s="102" t="s">
        <v>124</v>
      </c>
      <c r="D16" s="96" t="str">
        <f>VLOOKUP(C16,Comercial!A:I,9,)</f>
        <v>Nível 1</v>
      </c>
      <c r="E16" s="96" t="str">
        <f>IFERROR(IF(VLOOKUP("MP013_1",Comercial!J:M,2,)=D16,VLOOKUP("MP013_1",Comercial!J:M,4,),"-"),"-")</f>
        <v>Parametrizar o sistema comercial para faturamento automático dos clientes com leituras normais (sem impedimento ou irregularidade).</v>
      </c>
      <c r="F16" s="96" t="str">
        <f>IFERROR(IF(VLOOKUP("MP013_2",Comercial!J:M,2,)=D16,VLOOKUP("MP013_2",Comercial!J:M,4,),"-"),"-")</f>
        <v>-</v>
      </c>
      <c r="G16" s="96" t="str">
        <f>IFERROR(IF(VLOOKUP("MP013_3",Comercial!J:M,2,)=D16,VLOOKUP("MP013_3",Comercial!J:M,4,),"-"),"-")</f>
        <v>-</v>
      </c>
      <c r="H16" s="96" t="str">
        <f>IFERROR(IF(VLOOKUP("MP013_4",Comercial!J:M,2,)=D16,VLOOKUP("MP013_4",Comercial!J:M,4,),"-"),"-")</f>
        <v>-</v>
      </c>
      <c r="I16" s="97" t="str">
        <f>IFERROR(IF(VLOOKUP("MP013_5",Comercial!J:M,2,)=D16,VLOOKUP("MP013_5",Comercial!J:M,4,),"-"),"-")</f>
        <v>-</v>
      </c>
    </row>
    <row r="17" spans="1:9" ht="90" x14ac:dyDescent="0.25">
      <c r="A17" s="113"/>
      <c r="B17" s="105" t="s">
        <v>3</v>
      </c>
      <c r="C17" s="102" t="s">
        <v>130</v>
      </c>
      <c r="D17" s="96" t="str">
        <f>VLOOKUP(C17,Comercial!A:I,9,)</f>
        <v>Nível 1</v>
      </c>
      <c r="E17" s="96" t="str">
        <f>IFERROR(IF(VLOOKUP("MP014_1",Comercial!J:M,2,)=D17,VLOOKUP("MP014_1",Comercial!J:M,4,),"-"),"-")</f>
        <v>Dentre os aspectos listados na prática, devem ser priorizados os que possuem maior impacto na organização. Definir procedimento com as análises críticas priorizadas. e aplica-las a cada ciclo de
faturamento</v>
      </c>
      <c r="F17" s="96" t="str">
        <f>IFERROR(IF(VLOOKUP("MP014_2",Comercial!J:M,2,)=D17,VLOOKUP("MP014_2",Comercial!J:M,4,),"-"),"-")</f>
        <v>-</v>
      </c>
      <c r="G17" s="96" t="str">
        <f>IFERROR(IF(VLOOKUP("MP014_3",Comercial!J:M,2,)=D17,VLOOKUP("MP014_3",Comercial!J:M,4,),"-"),"-")</f>
        <v>-</v>
      </c>
      <c r="H17" s="96" t="str">
        <f>IFERROR(IF(VLOOKUP("MP014_4",Comercial!J:M,2,)=D17,VLOOKUP("MP014_4",Comercial!J:M,4,),"-"),"-")</f>
        <v>-</v>
      </c>
      <c r="I17" s="97" t="str">
        <f>IFERROR(IF(VLOOKUP("MP014_5",Comercial!J:M,2,)=D17,VLOOKUP("MP014_5",Comercial!J:M,4,),"-"),"-")</f>
        <v>-</v>
      </c>
    </row>
    <row r="18" spans="1:9" ht="60" x14ac:dyDescent="0.25">
      <c r="A18" s="113"/>
      <c r="B18" s="105" t="s">
        <v>3</v>
      </c>
      <c r="C18" s="102" t="s">
        <v>140</v>
      </c>
      <c r="D18" s="96" t="str">
        <f>VLOOKUP(C18,Comercial!A:I,9,)</f>
        <v>Nível 1</v>
      </c>
      <c r="E18" s="96" t="str">
        <f>IFERROR(IF(VLOOKUP("MP015_1",Comercial!J:M,2,)=D18,VLOOKUP("MP015_1",Comercial!J:M,4,),"-"),"-")</f>
        <v>Efetuar parametrização para que o sistema realize o cálculo automático de juros moratórios e multa de acordo com as políticas de cobrança.</v>
      </c>
      <c r="F18" s="96" t="str">
        <f>IFERROR(IF(VLOOKUP("MP015_2",Comercial!J:M,2,)=D18,VLOOKUP("MP015_2",Comercial!J:M,4,),"-"),"-")</f>
        <v>-</v>
      </c>
      <c r="G18" s="96" t="str">
        <f>IFERROR(IF(VLOOKUP("MP015_3",Comercial!J:M,2,)=D18,VLOOKUP("MP015_3",Comercial!J:M,4,),"-"),"-")</f>
        <v>-</v>
      </c>
      <c r="H18" s="96" t="str">
        <f>IFERROR(IF(VLOOKUP("MP015_4",Comercial!J:M,2,)=D18,VLOOKUP("MP015_4",Comercial!J:M,4,),"-"),"-")</f>
        <v>-</v>
      </c>
      <c r="I18" s="97" t="str">
        <f>IFERROR(IF(VLOOKUP("MP015_5",Comercial!J:M,2,)=D18,VLOOKUP("MP015_5",Comercial!J:M,4,),"-"),"-")</f>
        <v>-</v>
      </c>
    </row>
    <row r="19" spans="1:9" ht="105" x14ac:dyDescent="0.25">
      <c r="A19" s="113"/>
      <c r="B19" s="105" t="s">
        <v>3</v>
      </c>
      <c r="C19" s="102" t="s">
        <v>146</v>
      </c>
      <c r="D19" s="96" t="str">
        <f>VLOOKUP(C19,Comercial!A:I,9,)</f>
        <v>Nível 1</v>
      </c>
      <c r="E19" s="96" t="str">
        <f>IFERROR(IF(VLOOKUP("MP016_1",Comercial!J:M,2,)=D19,VLOOKUP("MP016_1",Comercial!J:M,4,),"-"),"-")</f>
        <v>Parametrizar o sistema de gestão com o layout padrão estabelecido pela FEBRABAN, de forma que seja possível processar os recebimentos através de arquivo eletrônico (remessa) transmitido para os
agentes arrecadadores.</v>
      </c>
      <c r="F19" s="96" t="str">
        <f>IFERROR(IF(VLOOKUP("MP016_2",Comercial!J:M,2,)=D19,VLOOKUP("MP016_2",Comercial!J:M,4,),"-"),"-")</f>
        <v>-</v>
      </c>
      <c r="G19" s="96" t="str">
        <f>IFERROR(IF(VLOOKUP("MP016_3",Comercial!J:M,2,)=D19,VLOOKUP("MP016_3",Comercial!J:M,4,),"-"),"-")</f>
        <v>-</v>
      </c>
      <c r="H19" s="96" t="str">
        <f>IFERROR(IF(VLOOKUP("MP016_4",Comercial!J:M,2,)=D19,VLOOKUP("MP016_4",Comercial!J:M,4,),"-"),"-")</f>
        <v>-</v>
      </c>
      <c r="I19" s="97" t="str">
        <f>IFERROR(IF(VLOOKUP("MP016_5",Comercial!J:M,2,)=D19,VLOOKUP("MP016_5",Comercial!J:M,4,),"-"),"-")</f>
        <v>-</v>
      </c>
    </row>
    <row r="20" spans="1:9" ht="30" x14ac:dyDescent="0.25">
      <c r="A20" s="113"/>
      <c r="B20" s="105" t="s">
        <v>749</v>
      </c>
      <c r="C20" s="102" t="s">
        <v>298</v>
      </c>
      <c r="D20" s="96" t="str">
        <f>VLOOKUP(C20,Financeira!A:I,9,)</f>
        <v>Nível 1</v>
      </c>
      <c r="E20" s="96" t="str">
        <f>IFERROR(IF(VLOOKUP("MP017_1",Financeira!J:M,2,)=D20,VLOOKUP("MP017_1",Financeira!J:M,4,),"-"),"-")</f>
        <v>Priorizar elaboração de normativos compreendidos como mais relevantes.</v>
      </c>
      <c r="F20" s="96" t="str">
        <f>IFERROR(IF(VLOOKUP("MP017_2",Financeira!J:M,2,)=D20,VLOOKUP("MP017_2",Financeira!J:M,4,),"-"),"-")</f>
        <v>-</v>
      </c>
      <c r="G20" s="96" t="str">
        <f>IFERROR(IF(VLOOKUP("MP017_3",Financeira!J:M,2,)=D20,VLOOKUP("MP017_3",Financeira!J:M,4,),"-"),"-")</f>
        <v>-</v>
      </c>
      <c r="H20" s="96" t="str">
        <f>IFERROR(IF(VLOOKUP("MP017_4",Financeira!J:M,2,)=D20,VLOOKUP("MP017_4",Financeira!J:M,4,),"-"),"-")</f>
        <v>-</v>
      </c>
      <c r="I20" s="97" t="str">
        <f>IFERROR(IF(VLOOKUP("MP017_5",Financeira!J:M,2,)=D20,VLOOKUP("MP017_5",Financeira!J:M,4,),"-"),"-")</f>
        <v>-</v>
      </c>
    </row>
    <row r="21" spans="1:9" ht="15" customHeight="1" x14ac:dyDescent="0.25">
      <c r="A21" s="113"/>
      <c r="B21" s="105" t="s">
        <v>749</v>
      </c>
      <c r="C21" s="102" t="s">
        <v>308</v>
      </c>
      <c r="D21" s="96" t="str">
        <f>VLOOKUP(C21,Financeira!A:I,9,)</f>
        <v>Nível 1</v>
      </c>
      <c r="E21" s="96" t="str">
        <f>IFERROR(IF(VLOOKUP("MP018_1",Financeira!J:M,2,)=D21,VLOOKUP("MP018_1",Financeira!J:M,4,),"-"),"-")</f>
        <v>Segregar completamente as atividades de faturamento e conciliação bancária em áreas distintas.</v>
      </c>
      <c r="F21" s="96" t="str">
        <f>IFERROR(IF(VLOOKUP("MP018_2",Financeira!J:M,2,)=D21,VLOOKUP("MP018_2",Financeira!J:M,4,),"-"),"-")</f>
        <v>-</v>
      </c>
      <c r="G21" s="96" t="str">
        <f>IFERROR(IF(VLOOKUP("MP018_3",Financeira!J:M,2,)=D21,VLOOKUP("MP018_3",Financeira!J:M,4,),"-"),"-")</f>
        <v>-</v>
      </c>
      <c r="H21" s="96" t="str">
        <f>IFERROR(IF(VLOOKUP("MP018_4",Financeira!J:M,2,)=D21,VLOOKUP("MP018_4",Financeira!J:M,4,),"-"),"-")</f>
        <v>-</v>
      </c>
      <c r="I21" s="97" t="str">
        <f>IFERROR(IF(VLOOKUP("MP018_5",Financeira!J:M,2,)=D21,VLOOKUP("MP018_5",Financeira!J:M,4,),"-"),"-")</f>
        <v>-</v>
      </c>
    </row>
    <row r="22" spans="1:9" ht="15" customHeight="1" x14ac:dyDescent="0.25">
      <c r="A22" s="113"/>
      <c r="B22" s="105" t="s">
        <v>749</v>
      </c>
      <c r="C22" s="102" t="s">
        <v>312</v>
      </c>
      <c r="D22" s="96" t="str">
        <f>VLOOKUP(C22,Financeira!A:I,9,)</f>
        <v>Nível 1</v>
      </c>
      <c r="E22" s="96" t="str">
        <f>IFERROR(IF(VLOOKUP("MP019_1",Financeira!J:M,2,)=D22,VLOOKUP("MP019_1",Financeira!J:M,4,),"-"),"-")</f>
        <v>Integrar os sistemas de gestão através de arquivo de integração para permitir que os valores faturados sejam automaticamente transferidos para o contas a receber.</v>
      </c>
      <c r="F22" s="96" t="str">
        <f>IFERROR(IF(VLOOKUP("MP019_2",Financeira!J:M,2,)=D22,VLOOKUP("MP019_2",Financeira!J:M,4,),"-"),"-")</f>
        <v>-</v>
      </c>
      <c r="G22" s="96" t="str">
        <f>IFERROR(IF(VLOOKUP("MP019_3",Financeira!J:M,2,)=D22,VLOOKUP("MP019_3",Financeira!J:M,4,),"-"),"-")</f>
        <v>-</v>
      </c>
      <c r="H22" s="96" t="str">
        <f>IFERROR(IF(VLOOKUP("MP019_4",Financeira!J:M,2,)=D22,VLOOKUP("MP019_4",Financeira!J:M,4,),"-"),"-")</f>
        <v>-</v>
      </c>
      <c r="I22" s="97" t="str">
        <f>IFERROR(IF(VLOOKUP("MP019_5",Financeira!J:M,2,)=D22,VLOOKUP("MP019_5",Financeira!J:M,4,),"-"),"-")</f>
        <v>-</v>
      </c>
    </row>
    <row r="23" spans="1:9" ht="15" customHeight="1" x14ac:dyDescent="0.25">
      <c r="A23" s="113"/>
      <c r="B23" s="105" t="s">
        <v>749</v>
      </c>
      <c r="C23" s="102" t="s">
        <v>319</v>
      </c>
      <c r="D23" s="96" t="str">
        <f>VLOOKUP(C23,Financeira!A:I,9,)</f>
        <v>Nível 1</v>
      </c>
      <c r="E23" s="96" t="str">
        <f>IFERROR(IF(VLOOKUP("MP020_1",Financeira!J:M,2,)=D23,VLOOKUP("MP020_1",Financeira!J:M,4,),"-"),"-")</f>
        <v>Formalizar procedimento e realizar prática de conciliação periódica entre o contas a receber, extratos bancários e contabilidade.</v>
      </c>
      <c r="F23" s="96" t="str">
        <f>IFERROR(IF(VLOOKUP("MP020_2",Financeira!J:M,2,)=D23,VLOOKUP("MP020_2",Financeira!J:M,4,),"-"),"-")</f>
        <v>-</v>
      </c>
      <c r="G23" s="96" t="str">
        <f>IFERROR(IF(VLOOKUP("MP020_3",Financeira!J:M,2,)=D23,VLOOKUP("MP020_3",Financeira!J:M,4,),"-"),"-")</f>
        <v>-</v>
      </c>
      <c r="H23" s="96" t="str">
        <f>IFERROR(IF(VLOOKUP("MP020_4",Financeira!J:M,2,)=D23,VLOOKUP("MP020_4",Financeira!J:M,4,),"-"),"-")</f>
        <v>-</v>
      </c>
      <c r="I23" s="97" t="str">
        <f>IFERROR(IF(VLOOKUP("MP020_5",Financeira!J:M,2,)=D23,VLOOKUP("MP020_5",Financeira!J:M,4,),"-"),"-")</f>
        <v>-</v>
      </c>
    </row>
    <row r="24" spans="1:9" ht="15" customHeight="1" x14ac:dyDescent="0.25">
      <c r="A24" s="113"/>
      <c r="B24" s="105" t="s">
        <v>749</v>
      </c>
      <c r="C24" s="102" t="s">
        <v>323</v>
      </c>
      <c r="D24" s="96" t="str">
        <f>VLOOKUP(C24,Financeira!A:I,9,)</f>
        <v>Nível 1</v>
      </c>
      <c r="E24" s="96" t="str">
        <f>IFERROR(IF(VLOOKUP("MP021_1",Financeira!J:M,2,)=D24,VLOOKUP("MP021_1",Financeira!J:M,4,),"-"),"-")</f>
        <v>Efetuar parametrização sistêmica para o cálculo automático da variação monetária e taxas/encargos financeiros conforme os contratos de dívida firmados.</v>
      </c>
      <c r="F24" s="96" t="str">
        <f>IFERROR(IF(VLOOKUP("MP021_2",Financeira!J:M,2,)=D24,VLOOKUP("MP021_2",Financeira!J:M,4,),"-"),"-")</f>
        <v>-</v>
      </c>
      <c r="G24" s="96" t="str">
        <f>IFERROR(IF(VLOOKUP("MP021_3",Financeira!J:M,2,)=D24,VLOOKUP("MP021_3",Financeira!J:M,4,),"-"),"-")</f>
        <v>-</v>
      </c>
      <c r="H24" s="96" t="str">
        <f>IFERROR(IF(VLOOKUP("MP021_4",Financeira!J:M,2,)=D24,VLOOKUP("MP021_4",Financeira!J:M,4,),"-"),"-")</f>
        <v>-</v>
      </c>
      <c r="I24" s="97" t="str">
        <f>IFERROR(IF(VLOOKUP("MP021_5",Financeira!J:M,2,)=D24,VLOOKUP("MP021_5",Financeira!J:M,4,),"-"),"-")</f>
        <v>-</v>
      </c>
    </row>
    <row r="25" spans="1:9" ht="105" x14ac:dyDescent="0.25">
      <c r="A25" s="113"/>
      <c r="B25" s="105" t="s">
        <v>750</v>
      </c>
      <c r="C25" s="102" t="s">
        <v>156</v>
      </c>
      <c r="D25" s="96" t="str">
        <f>VLOOKUP(C25,Recursos_Humanos!A:I,9,)</f>
        <v>Nível 1</v>
      </c>
      <c r="E25" s="96" t="str">
        <f>IFERROR(IF(VLOOKUP("MP022_1",Recursos_Humanos!J:M,2,)=D25,VLOOKUP("MP022_1",Recursos_Humanos!J:M,4,),"-"),"-")</f>
        <v>Devem ser selecionadas as que possuem maior impacto nos resultados da organização. Depois da priorização, os normativos devem ser elaborados e formalmente divulgadas nos meios institucionais de comunicação (Ex: intranet).</v>
      </c>
      <c r="F25" s="96" t="str">
        <f>IFERROR(IF(VLOOKUP("MP022_2",Recursos_Humanos!J:M,2,)=D25,VLOOKUP("MP022_2",Recursos_Humanos!J:M,4,),"-"),"-")</f>
        <v>-</v>
      </c>
      <c r="G25" s="96" t="str">
        <f>IFERROR(IF(VLOOKUP("MP022_3",Recursos_Humanos!J:M,2,)=D25,VLOOKUP("MP022_3",Recursos_Humanos!J:M,4,),"-"),"-")</f>
        <v>-</v>
      </c>
      <c r="H25" s="96" t="str">
        <f>IFERROR(IF(VLOOKUP("MP022_4",Recursos_Humanos!J:M,2,)=D25,VLOOKUP("MP022_4",Recursos_Humanos!J:M,4,),"-"),"-")</f>
        <v>-</v>
      </c>
      <c r="I25" s="97" t="str">
        <f>IFERROR(IF(VLOOKUP("MP022_5",Recursos_Humanos!J:M,2,)=D25,VLOOKUP("MP022_5",Recursos_Humanos!J:M,4,),"-"),"-")</f>
        <v>-</v>
      </c>
    </row>
    <row r="26" spans="1:9" ht="105" customHeight="1" x14ac:dyDescent="0.25">
      <c r="A26" s="113"/>
      <c r="B26" s="105" t="s">
        <v>750</v>
      </c>
      <c r="C26" s="102" t="s">
        <v>167</v>
      </c>
      <c r="D26" s="96" t="str">
        <f>VLOOKUP(C26,Recursos_Humanos!A:I,9,)</f>
        <v>Nível 1</v>
      </c>
      <c r="E26" s="96" t="str">
        <f>IFERROR(IF(VLOOKUP("MP023_1",Recursos_Humanos!J:M,2,)=D26,VLOOKUP("MP023_1",Recursos_Humanos!J:M,4,),"-"),"-")</f>
        <v>Dentre as atividades destacadas para o processo de cadastro e classificação, levantar as que
são realizadas pelos mesmos profissionais ou áreas da empresa.</v>
      </c>
      <c r="F26" s="96" t="str">
        <f>IFERROR(IF(VLOOKUP("MP023_2",Recursos_Humanos!J:M,2,)=D26,VLOOKUP("MP023_2",Recursos_Humanos!J:M,4,),"-"),"-")</f>
        <v>Segregar parte das atividades realizadas em profissionais ou áreas distintas.</v>
      </c>
      <c r="G26" s="96" t="str">
        <f>IFERROR(IF(VLOOKUP("MP023_3",Recursos_Humanos!J:M,2,)=D26,VLOOKUP("MP023_3",Recursos_Humanos!J:M,4,),"-"),"-")</f>
        <v>-</v>
      </c>
      <c r="H26" s="96" t="str">
        <f>IFERROR(IF(VLOOKUP("MP023_4",Recursos_Humanos!J:M,2,)=D26,VLOOKUP("MP023_4",Recursos_Humanos!J:M,4,),"-"),"-")</f>
        <v>-</v>
      </c>
      <c r="I26" s="97" t="str">
        <f>IFERROR(IF(VLOOKUP("MP023_5",Recursos_Humanos!J:M,2,)=D26,VLOOKUP("MP023_5",Recursos_Humanos!J:M,4,),"-"),"-")</f>
        <v>-</v>
      </c>
    </row>
    <row r="27" spans="1:9" ht="105" customHeight="1" x14ac:dyDescent="0.25">
      <c r="A27" s="113"/>
      <c r="B27" s="105" t="s">
        <v>750</v>
      </c>
      <c r="C27" s="102" t="s">
        <v>172</v>
      </c>
      <c r="D27" s="96" t="str">
        <f>VLOOKUP(C27,Recursos_Humanos!A:I,9,)</f>
        <v>Nível 1</v>
      </c>
      <c r="E27" s="96" t="str">
        <f>IFERROR(IF(VLOOKUP("MP024_1",Recursos_Humanos!J:M,2,)=D27,VLOOKUP("MP024_1",Recursos_Humanos!J:M,4,),"-"),"-")</f>
        <v>Formalizar procedimento e realizar prática de revisão do cadastro de colaboradores, considerando inclusões e modificações de salário, promoção, dados financeiros e benefícios.</v>
      </c>
      <c r="F27" s="96" t="str">
        <f>IFERROR(IF(VLOOKUP("MP024_2",Recursos_Humanos!J:M,2,)=D27,VLOOKUP("MP024_2",Recursos_Humanos!J:M,4,),"-"),"-")</f>
        <v>-</v>
      </c>
      <c r="G27" s="96" t="str">
        <f>IFERROR(IF(VLOOKUP("MP024_3",Recursos_Humanos!J:M,2,)=D27,VLOOKUP("MP024_3",Recursos_Humanos!J:M,4,),"-"),"-")</f>
        <v>-</v>
      </c>
      <c r="H27" s="96" t="str">
        <f>IFERROR(IF(VLOOKUP("MP024_4",Recursos_Humanos!J:M,2,)=D27,VLOOKUP("MP024_4",Recursos_Humanos!J:M,4,),"-"),"-")</f>
        <v>-</v>
      </c>
      <c r="I27" s="97" t="str">
        <f>IFERROR(IF(VLOOKUP("MP024_5",Recursos_Humanos!J:M,2,)=D27,VLOOKUP("MP024_5",Recursos_Humanos!J:M,4,),"-"),"-")</f>
        <v>-</v>
      </c>
    </row>
    <row r="28" spans="1:9" ht="105" customHeight="1" x14ac:dyDescent="0.25">
      <c r="A28" s="113"/>
      <c r="B28" s="105" t="s">
        <v>750</v>
      </c>
      <c r="C28" s="102" t="s">
        <v>180</v>
      </c>
      <c r="D28" s="96" t="str">
        <f>VLOOKUP(C28,Recursos_Humanos!A:I,9,)</f>
        <v>Nível 1</v>
      </c>
      <c r="E28" s="96" t="str">
        <f>IFERROR(IF(VLOOKUP("MP025_1",Recursos_Humanos!J:M,2,)=D28,VLOOKUP("MP025_1",Recursos_Humanos!J:M,4,),"-"),"-")</f>
        <v>Definir e formalizar procedimento para revisão e aprovação dos eventos de frequência (horas extras, faltas, atrasos e abonos) antes do processamento da folha de pagamentos.</v>
      </c>
      <c r="F28" s="96" t="str">
        <f>IFERROR(IF(VLOOKUP("MP025_2",Recursos_Humanos!J:M,2,)=D28,VLOOKUP("MP025_2",Recursos_Humanos!J:M,4,),"-"),"-")</f>
        <v>-</v>
      </c>
      <c r="G28" s="96" t="str">
        <f>IFERROR(IF(VLOOKUP("MP025_3",Recursos_Humanos!J:M,2,)=D28,VLOOKUP("MP025_3",Recursos_Humanos!J:M,4,),"-"),"-")</f>
        <v>-</v>
      </c>
      <c r="H28" s="96" t="str">
        <f>IFERROR(IF(VLOOKUP("MP025_4",Recursos_Humanos!J:M,2,)=D28,VLOOKUP("MP025_4",Recursos_Humanos!J:M,4,),"-"),"-")</f>
        <v>-</v>
      </c>
      <c r="I28" s="97" t="str">
        <f>IFERROR(IF(VLOOKUP("MP025_5",Recursos_Humanos!J:M,2,)=D28,VLOOKUP("MP025_5",Recursos_Humanos!J:M,4,),"-"),"-")</f>
        <v>-</v>
      </c>
    </row>
    <row r="29" spans="1:9" ht="105" customHeight="1" x14ac:dyDescent="0.25">
      <c r="A29" s="113"/>
      <c r="B29" s="105" t="s">
        <v>750</v>
      </c>
      <c r="C29" s="102" t="s">
        <v>186</v>
      </c>
      <c r="D29" s="96" t="str">
        <f>VLOOKUP(C29,Recursos_Humanos!A:I,9,)</f>
        <v>Nível 1</v>
      </c>
      <c r="E29" s="96" t="str">
        <f>IFERROR(IF(VLOOKUP("MP026_1",Recursos_Humanos!J:M,2,)=D29,VLOOKUP("MP026_1",Recursos_Humanos!J:M,4,),"-"),"-")</f>
        <v>Adquirir sistema / módulo de folha de pagamento que permita a realização do cálculo automático dos proventos, descontos e encargos sociais e trabalhistas, conforme legislação vigente e cadastro de colaboradores.</v>
      </c>
      <c r="F29" s="96" t="str">
        <f>IFERROR(IF(VLOOKUP("MP026_2",Recursos_Humanos!J:M,2,)=D29,VLOOKUP("MP026_2",Recursos_Humanos!J:M,4,),"-"),"-")</f>
        <v>-</v>
      </c>
      <c r="G29" s="96" t="str">
        <f>IFERROR(IF(VLOOKUP("MP026_3",Recursos_Humanos!J:M,2,)=D29,VLOOKUP("MP026_3",Recursos_Humanos!J:M,4,),"-"),"-")</f>
        <v>-</v>
      </c>
      <c r="H29" s="96" t="str">
        <f>IFERROR(IF(VLOOKUP("MP026_4",Recursos_Humanos!J:M,2,)=D29,VLOOKUP("MP026_4",Recursos_Humanos!J:M,4,),"-"),"-")</f>
        <v>-</v>
      </c>
      <c r="I29" s="97" t="str">
        <f>IFERROR(IF(VLOOKUP("MP026_5",Recursos_Humanos!J:M,2,)=D29,VLOOKUP("MP026_5",Recursos_Humanos!J:M,4,),"-"),"-")</f>
        <v>-</v>
      </c>
    </row>
    <row r="30" spans="1:9" ht="105" x14ac:dyDescent="0.25">
      <c r="A30" s="113"/>
      <c r="B30" s="105" t="s">
        <v>750</v>
      </c>
      <c r="C30" s="102" t="s">
        <v>189</v>
      </c>
      <c r="D30" s="96" t="str">
        <f>VLOOKUP(C30,Recursos_Humanos!A:I,9,)</f>
        <v>Nível 1</v>
      </c>
      <c r="E30" s="96" t="str">
        <f>IFERROR(IF(VLOOKUP("MP027_1",Recursos_Humanos!J:M,2,)=D30,VLOOKUP("MP027_1",Recursos_Humanos!J:M,4,),"-"),"-")</f>
        <v>Formalizar procedimento e realizar prática de acompanhamento periódico da legislação trabalhista e previdenciária, com o objetivo de promover atualizações tempestivas nas regras de cálculo do sistema de folha de pagamento.</v>
      </c>
      <c r="F30" s="96" t="str">
        <f>IFERROR(IF(VLOOKUP("MP027_2",Recursos_Humanos!J:M,2,)=D30,VLOOKUP("MP027_2",Recursos_Humanos!J:M,4,),"-"),"-")</f>
        <v>-</v>
      </c>
      <c r="G30" s="96" t="str">
        <f>IFERROR(IF(VLOOKUP("MP027_3",Recursos_Humanos!J:M,2,)=D30,VLOOKUP("MP027_3",Recursos_Humanos!J:M,4,),"-"),"-")</f>
        <v>-</v>
      </c>
      <c r="H30" s="96" t="str">
        <f>IFERROR(IF(VLOOKUP("MP027_4",Recursos_Humanos!J:M,2,)=D30,VLOOKUP("MP027_4",Recursos_Humanos!J:M,4,),"-"),"-")</f>
        <v>-</v>
      </c>
      <c r="I30" s="97" t="str">
        <f>IFERROR(IF(VLOOKUP("MP027_5",Recursos_Humanos!J:M,2,)=D30,VLOOKUP("MP027_5",Recursos_Humanos!J:M,4,),"-"),"-")</f>
        <v>-</v>
      </c>
    </row>
    <row r="31" spans="1:9" ht="105" customHeight="1" x14ac:dyDescent="0.25">
      <c r="A31" s="113"/>
      <c r="B31" s="105" t="s">
        <v>750</v>
      </c>
      <c r="C31" s="102" t="s">
        <v>193</v>
      </c>
      <c r="D31" s="96" t="str">
        <f>VLOOKUP(C31,Recursos_Humanos!A:I,9,)</f>
        <v>Nível 1</v>
      </c>
      <c r="E31" s="96" t="str">
        <f>IFERROR(IF(VLOOKUP("MP028_1",Recursos_Humanos!J:M,2,)=D31,VLOOKUP("MP028_1",Recursos_Humanos!J:M,4,),"-"),"-")</f>
        <v>Formalizar procedimento e realizar prática para a conferência/revisão formal dos cálculos rescisórios antes do desembolso.</v>
      </c>
      <c r="F31" s="96" t="str">
        <f>IFERROR(IF(VLOOKUP("MP028_2",Recursos_Humanos!J:M,2,)=D31,VLOOKUP("MP028_2",Recursos_Humanos!J:M,4,),"-"),"-")</f>
        <v>-</v>
      </c>
      <c r="G31" s="96" t="str">
        <f>IFERROR(IF(VLOOKUP("MP028_3",Recursos_Humanos!J:M,2,)=D31,VLOOKUP("MP028_3",Recursos_Humanos!J:M,4,),"-"),"-")</f>
        <v>-</v>
      </c>
      <c r="H31" s="96" t="str">
        <f>IFERROR(IF(VLOOKUP("MP028_4",Recursos_Humanos!J:M,2,)=D31,VLOOKUP("MP028_4",Recursos_Humanos!J:M,4,),"-"),"-")</f>
        <v>-</v>
      </c>
      <c r="I31" s="97" t="str">
        <f>IFERROR(IF(VLOOKUP("MP028_5",Recursos_Humanos!J:M,2,)=D31,VLOOKUP("MP028_5",Recursos_Humanos!J:M,4,),"-"),"-")</f>
        <v>-</v>
      </c>
    </row>
    <row r="32" spans="1:9" ht="105" x14ac:dyDescent="0.25">
      <c r="A32" s="113"/>
      <c r="B32" s="105" t="s">
        <v>750</v>
      </c>
      <c r="C32" s="102" t="s">
        <v>197</v>
      </c>
      <c r="D32" s="96" t="str">
        <f>VLOOKUP(C32,Recursos_Humanos!A:I,9,)</f>
        <v>Nível 1</v>
      </c>
      <c r="E32" s="96" t="str">
        <f>IFERROR(IF(VLOOKUP("MP029_1",Recursos_Humanos!J:M,2,)=D32,VLOOKUP("MP029_1",Recursos_Humanos!J:M,4,),"-"),"-")</f>
        <v>Formalizar procedimento e realizar prática de revisão e aprovação das folhas de pagamento anterior ao registro no contas a pagar e na contabilidade e por funcionário com atribuições / qualificações compatíveis à esta atividade.</v>
      </c>
      <c r="F32" s="96" t="str">
        <f>IFERROR(IF(VLOOKUP("MP029_2",Recursos_Humanos!J:M,2,)=D32,VLOOKUP("MP029_2",Recursos_Humanos!J:M,4,),"-"),"-")</f>
        <v>-</v>
      </c>
      <c r="G32" s="96" t="str">
        <f>IFERROR(IF(VLOOKUP("MP029_3",Recursos_Humanos!J:M,2,)=D32,VLOOKUP("MP029_3",Recursos_Humanos!J:M,4,),"-"),"-")</f>
        <v>-</v>
      </c>
      <c r="H32" s="96" t="str">
        <f>IFERROR(IF(VLOOKUP("MP029_4",Recursos_Humanos!J:M,2,)=D32,VLOOKUP("MP029_4",Recursos_Humanos!J:M,4,),"-"),"-")</f>
        <v>-</v>
      </c>
      <c r="I32" s="97" t="str">
        <f>IFERROR(IF(VLOOKUP("MP029_5",Recursos_Humanos!J:M,2,)=D32,VLOOKUP("MP029_5",Recursos_Humanos!J:M,4,),"-"),"-")</f>
        <v>-</v>
      </c>
    </row>
    <row r="33" spans="1:9" ht="105" customHeight="1" x14ac:dyDescent="0.25">
      <c r="A33" s="113"/>
      <c r="B33" s="105" t="s">
        <v>750</v>
      </c>
      <c r="C33" s="102" t="s">
        <v>200</v>
      </c>
      <c r="D33" s="96" t="str">
        <f>VLOOKUP(C33,Recursos_Humanos!A:I,9,)</f>
        <v>Nível 1</v>
      </c>
      <c r="E33" s="96" t="str">
        <f>IFERROR(IF(VLOOKUP("MP030_1",Recursos_Humanos!J:M,2,)=D33,VLOOKUP("MP030_1",Recursos_Humanos!J:M,4,),"-"),"-")</f>
        <v>Efetuar parametrização sistêmica para possibilitar a integração dos módulos de folha de pagamentos e contábil para o lançamento automático dos valores na contabilidade.</v>
      </c>
      <c r="F33" s="96" t="str">
        <f>IFERROR(IF(VLOOKUP("MP030_2",Recursos_Humanos!J:M,2,)=D33,VLOOKUP("MP030_2",Recursos_Humanos!J:M,4,),"-"),"-")</f>
        <v>-</v>
      </c>
      <c r="G33" s="96" t="str">
        <f>IFERROR(IF(VLOOKUP("MP030_3",Recursos_Humanos!J:M,2,)=D33,VLOOKUP("MP030_3",Recursos_Humanos!J:M,4,),"-"),"-")</f>
        <v>-</v>
      </c>
      <c r="H33" s="96" t="str">
        <f>IFERROR(IF(VLOOKUP("MP030_4",Recursos_Humanos!J:M,2,)=D33,VLOOKUP("MP030_4",Recursos_Humanos!J:M,4,),"-"),"-")</f>
        <v>-</v>
      </c>
      <c r="I33" s="97" t="str">
        <f>IFERROR(IF(VLOOKUP("MP030_5",Recursos_Humanos!J:M,2,)=D33,VLOOKUP("MP030_5",Recursos_Humanos!J:M,4,),"-"),"-")</f>
        <v>-</v>
      </c>
    </row>
    <row r="34" spans="1:9" ht="105" x14ac:dyDescent="0.25">
      <c r="A34" s="113"/>
      <c r="B34" s="105" t="s">
        <v>751</v>
      </c>
      <c r="C34" s="102" t="s">
        <v>205</v>
      </c>
      <c r="D34" s="96" t="str">
        <f>VLOOKUP(C34,Suprimentos!A:I,9,)</f>
        <v>Nível 1</v>
      </c>
      <c r="E34" s="96" t="str">
        <f>IFERROR(IF(VLOOKUP("MP031_1",Suprimentos!J:M,2,)=D34,VLOOKUP("MP031_1",Suprimentos!J:M,4,),"-"),"-")</f>
        <v>Devem ser selecionadas as que possuem maior impacto nos resultados da organização. Depois da priorização, os normativos devem ser elaborados e formalmente divulgados nos meios institucionais de comunicação (Ex: intranet).</v>
      </c>
      <c r="F34" s="96" t="str">
        <f>IFERROR(IF(VLOOKUP("MP031_2",Suprimentos!J:M,2,)=D34,VLOOKUP("MP031_2",Suprimentos!J:M,4,),"-"),"-")</f>
        <v>Elaboração dos demais normativos.</v>
      </c>
      <c r="G34" s="96" t="str">
        <f>IFERROR(IF(VLOOKUP("MP031_3",Suprimentos!J:M,2,)=D34,VLOOKUP("MP031_3",Suprimentos!J:M,4,),"-"),"-")</f>
        <v>-</v>
      </c>
      <c r="H34" s="96" t="str">
        <f>IFERROR(IF(VLOOKUP("MP031_4",Suprimentos!J:M,2,)=D34,VLOOKUP("MP031_4",Suprimentos!J:M,4,),"-"),"-")</f>
        <v>-</v>
      </c>
      <c r="I34" s="97" t="str">
        <f>IFERROR(IF(VLOOKUP("MP031_5",Suprimentos!J:M,2,)=D34,VLOOKUP("MP031_5",Suprimentos!J:M,4,),"-"),"-")</f>
        <v>-</v>
      </c>
    </row>
    <row r="35" spans="1:9" ht="105" customHeight="1" x14ac:dyDescent="0.25">
      <c r="A35" s="113"/>
      <c r="B35" s="105" t="s">
        <v>751</v>
      </c>
      <c r="C35" s="102" t="s">
        <v>214</v>
      </c>
      <c r="D35" s="96" t="str">
        <f>VLOOKUP(C35,Suprimentos!A:I,9,)</f>
        <v>Nível 1</v>
      </c>
      <c r="E35" s="96" t="str">
        <f>IFERROR(IF(VLOOKUP("MP032_1",Suprimentos!J:M,2,)=D35,VLOOKUP("MP032_1",Suprimentos!J:M,4,),"-"),"-")</f>
        <v>Dentre as atividades destacadas para o processo de cadastro e classificação, levantar as que
são realizadas pelos mesmos profissionais ou áreas da empresa.</v>
      </c>
      <c r="F35" s="96" t="str">
        <f>IFERROR(IF(VLOOKUP("MP032_2",Suprimentos!J:M,2,)=D35,VLOOKUP("MP032_2",Suprimentos!J:M,4,),"-"),"-")</f>
        <v>Segregar parte das atividades realizadas em profissionais ou áreas distintas.</v>
      </c>
      <c r="G35" s="96" t="str">
        <f>IFERROR(IF(VLOOKUP("MP032_3",Suprimentos!J:M,2,)=D35,VLOOKUP("MP032_3",Suprimentos!J:M,4,),"-"),"-")</f>
        <v>-</v>
      </c>
      <c r="H35" s="96" t="str">
        <f>IFERROR(IF(VLOOKUP("MP032_4",Suprimentos!J:M,2,)=D35,VLOOKUP("MP032_4",Suprimentos!J:M,4,),"-"),"-")</f>
        <v>-</v>
      </c>
      <c r="I35" s="97" t="str">
        <f>IFERROR(IF(VLOOKUP("MP032_5",Suprimentos!J:M,2,)=D35,VLOOKUP("MP032_5",Suprimentos!J:M,4,),"-"),"-")</f>
        <v>-</v>
      </c>
    </row>
    <row r="36" spans="1:9" ht="105" customHeight="1" x14ac:dyDescent="0.25">
      <c r="A36" s="113"/>
      <c r="B36" s="105" t="s">
        <v>751</v>
      </c>
      <c r="C36" s="102" t="s">
        <v>222</v>
      </c>
      <c r="D36" s="96" t="str">
        <f>VLOOKUP(C36,Suprimentos!A:I,9,)</f>
        <v>Nível 1</v>
      </c>
      <c r="E36" s="96" t="str">
        <f>IFERROR(IF(VLOOKUP("MP033_1",Suprimentos!J:M,2,)=D36,VLOOKUP("MP033_1",Suprimentos!J:M,4,),"-"),"-")</f>
        <v>Parametrizar o sistema de gestão para permitir o cadastro da conta do razão e objeto de custos em cada item do pedido de compras ou contrato, de forma a permitir que a contabilização seja realizada de forma padronizada e na conta e centro de custos correto no momento da entrada da nota fiscal.</v>
      </c>
      <c r="F36" s="96" t="str">
        <f>IFERROR(IF(VLOOKUP("MP033_2",Suprimentos!J:M,2,)=D36,VLOOKUP("MP033_2",Suprimentos!J:M,4,),"-"),"-")</f>
        <v>-</v>
      </c>
      <c r="G36" s="96" t="str">
        <f>IFERROR(IF(VLOOKUP("MP033_3",Suprimentos!J:M,2,)=D36,VLOOKUP("MP033_3",Suprimentos!J:M,4,),"-"),"-")</f>
        <v>-</v>
      </c>
      <c r="H36" s="96" t="str">
        <f>IFERROR(IF(VLOOKUP("MP033_4",Suprimentos!J:M,2,)=D36,VLOOKUP("MP033_4",Suprimentos!J:M,4,),"-"),"-")</f>
        <v>-</v>
      </c>
      <c r="I36" s="97" t="str">
        <f>IFERROR(IF(VLOOKUP("MP033_5",Suprimentos!J:M,2,)=D36,VLOOKUP("MP033_5",Suprimentos!J:M,4,),"-"),"-")</f>
        <v>-</v>
      </c>
    </row>
    <row r="37" spans="1:9" ht="105" customHeight="1" x14ac:dyDescent="0.25">
      <c r="A37" s="113"/>
      <c r="B37" s="105" t="s">
        <v>751</v>
      </c>
      <c r="C37" s="102" t="s">
        <v>226</v>
      </c>
      <c r="D37" s="96" t="str">
        <f>VLOOKUP(C37,Suprimentos!A:I,9,)</f>
        <v>Nível 1</v>
      </c>
      <c r="E37" s="96" t="str">
        <f>IFERROR(IF(VLOOKUP("MP034_1",Suprimentos!J:M,2,)=D37,VLOOKUP("MP034_1",Suprimentos!J:M,4,),"-"),"-")</f>
        <v>Desenvolver e formalizar procedimento para aprovação das solicitações/requisições de compra antes do envio à área de compras, considerando a definição de limites de alçada, caso aplicável.</v>
      </c>
      <c r="F37" s="96" t="str">
        <f>IFERROR(IF(VLOOKUP("MP034_2",Suprimentos!J:M,2,)=D37,VLOOKUP("MP034_2",Suprimentos!J:M,4,),"-"),"-")</f>
        <v>-</v>
      </c>
      <c r="G37" s="96" t="str">
        <f>IFERROR(IF(VLOOKUP("MP034_3",Suprimentos!J:M,2,)=D37,VLOOKUP("MP034_3",Suprimentos!J:M,4,),"-"),"-")</f>
        <v>-</v>
      </c>
      <c r="H37" s="96" t="str">
        <f>IFERROR(IF(VLOOKUP("MP034_4",Suprimentos!J:M,2,)=D37,VLOOKUP("MP034_4",Suprimentos!J:M,4,),"-"),"-")</f>
        <v>-</v>
      </c>
      <c r="I37" s="97" t="str">
        <f>IFERROR(IF(VLOOKUP("MP034_5",Suprimentos!J:M,2,)=D37,VLOOKUP("MP034_5",Suprimentos!J:M,4,),"-"),"-")</f>
        <v>-</v>
      </c>
    </row>
    <row r="38" spans="1:9" ht="105" customHeight="1" x14ac:dyDescent="0.25">
      <c r="A38" s="113"/>
      <c r="B38" s="105" t="s">
        <v>751</v>
      </c>
      <c r="C38" s="102" t="s">
        <v>229</v>
      </c>
      <c r="D38" s="96" t="str">
        <f>VLOOKUP(C38,Suprimentos!A:I,9,)</f>
        <v>Nível 1</v>
      </c>
      <c r="E38" s="96" t="str">
        <f>IFERROR(IF(VLOOKUP("MP035_1",Suprimentos!J:M,2,)=D38,VLOOKUP("MP035_1",Suprimentos!J:M,4,),"-"),"-")</f>
        <v>Desenvolver ou adquirir funcionalidade para cadastro dos contratos firmados entre o prestador de serviço e os seus fornecedores no sistema de gestão.</v>
      </c>
      <c r="F38" s="96" t="str">
        <f>IFERROR(IF(VLOOKUP("MP035_2",Suprimentos!J:M,2,)=D38,VLOOKUP("MP035_2",Suprimentos!J:M,4,),"-"),"-")</f>
        <v>-</v>
      </c>
      <c r="G38" s="96" t="str">
        <f>IFERROR(IF(VLOOKUP("MP035_3",Suprimentos!J:M,2,)=D38,VLOOKUP("MP035_3",Suprimentos!J:M,4,),"-"),"-")</f>
        <v>-</v>
      </c>
      <c r="H38" s="96" t="str">
        <f>IFERROR(IF(VLOOKUP("MP035_4",Suprimentos!J:M,2,)=D38,VLOOKUP("MP035_4",Suprimentos!J:M,4,),"-"),"-")</f>
        <v>-</v>
      </c>
      <c r="I38" s="97" t="str">
        <f>IFERROR(IF(VLOOKUP("MP035_5",Suprimentos!J:M,2,)=D38,VLOOKUP("MP035_5",Suprimentos!J:M,4,),"-"),"-")</f>
        <v>-</v>
      </c>
    </row>
    <row r="39" spans="1:9" ht="105" customHeight="1" x14ac:dyDescent="0.25">
      <c r="A39" s="113"/>
      <c r="B39" s="105" t="s">
        <v>751</v>
      </c>
      <c r="C39" s="102" t="s">
        <v>233</v>
      </c>
      <c r="D39" s="96" t="str">
        <f>VLOOKUP(C39,Suprimentos!A:I,9,)</f>
        <v>Nível 1</v>
      </c>
      <c r="E39" s="96" t="str">
        <f>IFERROR(IF(VLOOKUP("MP036_1",Suprimentos!J:M,2,)=D39,VLOOKUP("MP036_1",Suprimentos!J:M,4,),"-"),"-")</f>
        <v>Desenvolver e formalizar procedimento para aprovação dos pedidos de compra, com base nas solicitações/requisições de compra ou nos contratos aprovados, e considerando a definição de limites de alçada, caso aplicável.</v>
      </c>
      <c r="F39" s="96" t="str">
        <f>IFERROR(IF(VLOOKUP("MP036_2",Suprimentos!J:M,2,)=D39,VLOOKUP("MP036_2",Suprimentos!J:M,4,),"-"),"-")</f>
        <v>-</v>
      </c>
      <c r="G39" s="96" t="str">
        <f>IFERROR(IF(VLOOKUP("MP036_3",Suprimentos!J:M,2,)=D39,VLOOKUP("MP036_3",Suprimentos!J:M,4,),"-"),"-")</f>
        <v>-</v>
      </c>
      <c r="H39" s="96" t="str">
        <f>IFERROR(IF(VLOOKUP("MP036_4",Suprimentos!J:M,2,)=D39,VLOOKUP("MP036_4",Suprimentos!J:M,4,),"-"),"-")</f>
        <v>-</v>
      </c>
      <c r="I39" s="97" t="str">
        <f>IFERROR(IF(VLOOKUP("MP036_5",Suprimentos!J:M,2,)=D39,VLOOKUP("MP036_5",Suprimentos!J:M,4,),"-"),"-")</f>
        <v>-</v>
      </c>
    </row>
    <row r="40" spans="1:9" ht="105" x14ac:dyDescent="0.25">
      <c r="A40" s="113"/>
      <c r="B40" s="105" t="s">
        <v>751</v>
      </c>
      <c r="C40" s="102" t="s">
        <v>236</v>
      </c>
      <c r="D40" s="96" t="str">
        <f>VLOOKUP(C40,Suprimentos!A:I,9,)</f>
        <v>Nível 1</v>
      </c>
      <c r="E40" s="96" t="str">
        <f>IFERROR(IF(VLOOKUP("MP037_1",Suprimentos!J:M,2,)=D40,VLOOKUP("MP037_1",Suprimentos!J:M,4,),"-"),"-")</f>
        <v>Desenvolver e formalizar procedimento para a conferência física dos itens recebidos, considerando quantidade, especificações técnicas, condições comerciais, qualidade ou avarias e de acordo com o pedido efetuado ao fornecedor.</v>
      </c>
      <c r="F40" s="96" t="str">
        <f>IFERROR(IF(VLOOKUP("MP037_2",Suprimentos!J:M,2,)=D40,VLOOKUP("MP037_2",Suprimentos!J:M,4,),"-"),"-")</f>
        <v>-</v>
      </c>
      <c r="G40" s="96" t="str">
        <f>IFERROR(IF(VLOOKUP("MP037_3",Suprimentos!J:M,2,)=D40,VLOOKUP("MP037_3",Suprimentos!J:M,4,),"-"),"-")</f>
        <v>-</v>
      </c>
      <c r="H40" s="96" t="str">
        <f>IFERROR(IF(VLOOKUP("MP037_4",Suprimentos!J:M,2,)=D40,VLOOKUP("MP037_4",Suprimentos!J:M,4,),"-"),"-")</f>
        <v>-</v>
      </c>
      <c r="I40" s="97" t="str">
        <f>IFERROR(IF(VLOOKUP("MP037_5",Suprimentos!J:M,2,)=D40,VLOOKUP("MP037_5",Suprimentos!J:M,4,),"-"),"-")</f>
        <v>-</v>
      </c>
    </row>
    <row r="41" spans="1:9" ht="105" x14ac:dyDescent="0.25">
      <c r="A41" s="113"/>
      <c r="B41" s="105" t="s">
        <v>751</v>
      </c>
      <c r="C41" s="102" t="s">
        <v>239</v>
      </c>
      <c r="D41" s="96" t="str">
        <f>VLOOKUP(C41,Suprimentos!A:I,9,)</f>
        <v>Nível 1</v>
      </c>
      <c r="E41" s="96" t="str">
        <f>IFERROR(IF(VLOOKUP("MP038_1",Suprimentos!J:M,2,)=D41,VLOOKUP("MP038_1",Suprimentos!J:M,4,),"-"),"-")</f>
        <v>-</v>
      </c>
      <c r="F41" s="96" t="str">
        <f>IFERROR(IF(VLOOKUP("MP038_2",Suprimentos!J:M,2,)=D41,VLOOKUP("MP038_2",Suprimentos!J:M,4,),"-"),"-")</f>
        <v>Desenvolver e formalizar procedimento de ateste formal da prestação dos serviços antes da efetivação do desembolso. A aprovação pode ser via sistema, em formulários, boletins de medição ou na própria nota fiscal de serviço.</v>
      </c>
      <c r="G41" s="96" t="str">
        <f>IFERROR(IF(VLOOKUP("MP038_3",Suprimentos!J:M,2,)=D41,VLOOKUP("MP038_3",Suprimentos!J:M,4,),"-"),"-")</f>
        <v>-</v>
      </c>
      <c r="H41" s="96" t="str">
        <f>IFERROR(IF(VLOOKUP("MP038_4",Suprimentos!J:M,2,)=D41,VLOOKUP("MP038_4",Suprimentos!J:M,4,),"-"),"-")</f>
        <v>-</v>
      </c>
      <c r="I41" s="97" t="str">
        <f>IFERROR(IF(VLOOKUP("MP038_5",Suprimentos!J:M,2,)=D41,VLOOKUP("MP038_5",Suprimentos!J:M,4,),"-"),"-")</f>
        <v>-</v>
      </c>
    </row>
    <row r="42" spans="1:9" ht="105" customHeight="1" x14ac:dyDescent="0.25">
      <c r="A42" s="113"/>
      <c r="B42" s="105" t="s">
        <v>751</v>
      </c>
      <c r="C42" s="102" t="s">
        <v>242</v>
      </c>
      <c r="D42" s="96" t="str">
        <f>VLOOKUP(C42,Suprimentos!A:I,9,)</f>
        <v>Nível 1</v>
      </c>
      <c r="E42" s="96" t="str">
        <f>IFERROR(IF(VLOOKUP("MP039_1",Suprimentos!J:M,2,)=D42,VLOOKUP("MP039_1",Suprimentos!J:M,4,),"-"),"-")</f>
        <v>Efetuar parametrização sistêmica para a realização de consistências automáticas no recebimento de materiais e serviços, a fim de evitar o registro de notas fiscais em parte das condições relacionadas na melhor prática.</v>
      </c>
      <c r="F42" s="96" t="str">
        <f>IFERROR(IF(VLOOKUP("MP039_2",Suprimentos!J:M,2,)=D42,VLOOKUP("MP039_2",Suprimentos!J:M,4,),"-"),"-")</f>
        <v>-</v>
      </c>
      <c r="G42" s="96" t="str">
        <f>IFERROR(IF(VLOOKUP("MP039_3",Suprimentos!J:M,2,)=D42,VLOOKUP("MP039_3",Suprimentos!J:M,4,),"-"),"-")</f>
        <v>-</v>
      </c>
      <c r="H42" s="96" t="str">
        <f>IFERROR(IF(VLOOKUP("MP039_4",Suprimentos!J:M,2,)=D42,VLOOKUP("MP039_4",Suprimentos!J:M,4,),"-"),"-")</f>
        <v>-</v>
      </c>
      <c r="I42" s="97" t="str">
        <f>IFERROR(IF(VLOOKUP("MP039_5",Suprimentos!J:M,2,)=D42,VLOOKUP("MP039_5",Suprimentos!J:M,4,),"-"),"-")</f>
        <v>-</v>
      </c>
    </row>
    <row r="43" spans="1:9" ht="105" customHeight="1" x14ac:dyDescent="0.25">
      <c r="A43" s="113"/>
      <c r="B43" s="105" t="s">
        <v>751</v>
      </c>
      <c r="C43" s="102" t="s">
        <v>249</v>
      </c>
      <c r="D43" s="96" t="str">
        <f>VLOOKUP(C43,Suprimentos!A:I,9,)</f>
        <v>Nível 1</v>
      </c>
      <c r="E43" s="96" t="str">
        <f>IFERROR(IF(VLOOKUP("MP040_1",Suprimentos!J:M,2,)=D43,VLOOKUP("MP040_1",Suprimentos!J:M,4,),"-"),"-")</f>
        <v>Efetuar parametrização sistêmica para permitir a atualização automática da posição de estoques / ativos, contas a pagar, contabilidade e livros fiscais após o registro do documento fiscal / de cobrança e considerando os dados do pedido / requisição de compras (conta contábil e objeto/centro de custos).</v>
      </c>
      <c r="F43" s="96" t="str">
        <f>IFERROR(IF(VLOOKUP("MP040_2",Suprimentos!J:M,2,)=D43,VLOOKUP("MP040_2",Suprimentos!J:M,4,),"-"),"-")</f>
        <v>-</v>
      </c>
      <c r="G43" s="96" t="str">
        <f>IFERROR(IF(VLOOKUP("MP040_3",Suprimentos!J:M,2,)=D43,VLOOKUP("MP040_3",Suprimentos!J:M,4,),"-"),"-")</f>
        <v>-</v>
      </c>
      <c r="H43" s="96" t="str">
        <f>IFERROR(IF(VLOOKUP("MP040_4",Suprimentos!J:M,2,)=D43,VLOOKUP("MP040_4",Suprimentos!J:M,4,),"-"),"-")</f>
        <v>-</v>
      </c>
      <c r="I43" s="97" t="str">
        <f>IFERROR(IF(VLOOKUP("MP040_5",Suprimentos!J:M,2,)=D43,VLOOKUP("MP040_5",Suprimentos!J:M,4,),"-"),"-")</f>
        <v>-</v>
      </c>
    </row>
    <row r="44" spans="1:9" ht="105" customHeight="1" x14ac:dyDescent="0.25">
      <c r="A44" s="113"/>
      <c r="B44" s="105" t="s">
        <v>751</v>
      </c>
      <c r="C44" s="102" t="s">
        <v>252</v>
      </c>
      <c r="D44" s="96" t="str">
        <f>VLOOKUP(C44,Suprimentos!A:I,9,)</f>
        <v>Nível 1</v>
      </c>
      <c r="E44" s="96" t="str">
        <f>IFERROR(IF(VLOOKUP("MP041_1",Suprimentos!J:M,2,)=D44,VLOOKUP("MP041_1",Suprimentos!J:M,4,),"-"),"-")</f>
        <v>Efetuar parametrização sistêmica para permitir a emissão de requisições eletrônicas para a retirada de produtos do estoque / almoxarifado.</v>
      </c>
      <c r="F44" s="96" t="str">
        <f>IFERROR(IF(VLOOKUP("MP041_2",Suprimentos!J:M,2,)=D44,VLOOKUP("MP041_2",Suprimentos!J:M,4,),"-"),"-")</f>
        <v>-</v>
      </c>
      <c r="G44" s="96" t="str">
        <f>IFERROR(IF(VLOOKUP("MP041_3",Suprimentos!J:M,2,)=D44,VLOOKUP("MP041_3",Suprimentos!J:M,4,),"-"),"-")</f>
        <v>-</v>
      </c>
      <c r="H44" s="96" t="str">
        <f>IFERROR(IF(VLOOKUP("MP041_4",Suprimentos!J:M,2,)=D44,VLOOKUP("MP041_4",Suprimentos!J:M,4,),"-"),"-")</f>
        <v>-</v>
      </c>
      <c r="I44" s="97" t="str">
        <f>IFERROR(IF(VLOOKUP("MP041_5",Suprimentos!J:M,2,)=D44,VLOOKUP("MP041_5",Suprimentos!J:M,4,),"-"),"-")</f>
        <v>-</v>
      </c>
    </row>
    <row r="45" spans="1:9" ht="105" customHeight="1" x14ac:dyDescent="0.25">
      <c r="A45" s="113"/>
      <c r="B45" s="105" t="s">
        <v>751</v>
      </c>
      <c r="C45" s="102" t="s">
        <v>256</v>
      </c>
      <c r="D45" s="96" t="str">
        <f>VLOOKUP(C45,Suprimentos!A:I,9,)</f>
        <v>Nível 1</v>
      </c>
      <c r="E45" s="96" t="str">
        <f>IFERROR(IF(VLOOKUP("MP042_1",Suprimentos!J:M,2,)=D45,VLOOKUP("MP042_1",Suprimentos!J:M,4,),"-"),"-")</f>
        <v>Desenvolver e formalizar procedimento de solicitação e aprovação dos títulos inseridos diretamente no financeiro. Estes títulos referem-se à solicitações de pagamento que podem não passar pelo processo normal de compras e licitações, como exemplo, reembolsos de viagens, pagamento de taxas,tributos serviços públicos, dentre outros.</v>
      </c>
      <c r="F45" s="96" t="str">
        <f>IFERROR(IF(VLOOKUP("MP042_2",Suprimentos!J:M,2,)=D45,VLOOKUP("MP042_2",Suprimentos!J:M,4,),"-"),"-")</f>
        <v>-</v>
      </c>
      <c r="G45" s="96" t="str">
        <f>IFERROR(IF(VLOOKUP("MP042_3",Suprimentos!J:M,2,)=D45,VLOOKUP("MP042_3",Suprimentos!J:M,4,),"-"),"-")</f>
        <v>-</v>
      </c>
      <c r="H45" s="96" t="str">
        <f>IFERROR(IF(VLOOKUP("MP042_4",Suprimentos!J:M,2,)=D45,VLOOKUP("MP042_4",Suprimentos!J:M,4,),"-"),"-")</f>
        <v>-</v>
      </c>
      <c r="I45" s="97" t="str">
        <f>IFERROR(IF(VLOOKUP("MP042_5",Suprimentos!J:M,2,)=D45,VLOOKUP("MP042_5",Suprimentos!J:M,4,),"-"),"-")</f>
        <v>-</v>
      </c>
    </row>
    <row r="46" spans="1:9" ht="30" x14ac:dyDescent="0.25">
      <c r="A46" s="113"/>
      <c r="B46" s="105" t="s">
        <v>752</v>
      </c>
      <c r="C46" s="102" t="s">
        <v>565</v>
      </c>
      <c r="D46" s="96" t="str">
        <f>VLOOKUP(C46,Tributária!A:I,9,)</f>
        <v>Nível 1</v>
      </c>
      <c r="E46" s="96" t="str">
        <f>IFERROR(IF(VLOOKUP("MP043_1",Tributária!J:M,2,)=D46,VLOOKUP("MP043_1",Tributária!J:M,4,),"-"),"-")</f>
        <v>Priorizar elaboração de normativos compreendidos como mais relevantes.</v>
      </c>
      <c r="F46" s="96" t="str">
        <f>IFERROR(IF(VLOOKUP("MP043_2",Tributária!J:M,2,)=D46,VLOOKUP("MP043_2",Tributária!J:M,4,),"-"),"-")</f>
        <v>Elaboração dos demais normativos.</v>
      </c>
      <c r="G46" s="96" t="str">
        <f>IFERROR(IF(VLOOKUP("MP043_3",Tributária!J:M,2,)=D46,VLOOKUP("MP043_3",Tributária!J:M,4,),"-"),"-")</f>
        <v>-</v>
      </c>
      <c r="H46" s="96" t="str">
        <f>IFERROR(IF(VLOOKUP("MP043_4",Tributária!J:M,2,)=D46,VLOOKUP("MP043_4",Tributária!J:M,4,),"-"),"-")</f>
        <v>-</v>
      </c>
      <c r="I46" s="97" t="str">
        <f>IFERROR(IF(VLOOKUP("MP043_5",Tributária!J:M,2,)=D46,VLOOKUP("MP043_5",Tributária!J:M,4,),"-"),"-")</f>
        <v>-</v>
      </c>
    </row>
    <row r="47" spans="1:9" ht="30" customHeight="1" x14ac:dyDescent="0.25">
      <c r="A47" s="113"/>
      <c r="B47" s="105" t="s">
        <v>752</v>
      </c>
      <c r="C47" s="102" t="s">
        <v>572</v>
      </c>
      <c r="D47" s="96" t="str">
        <f>VLOOKUP(C47,Tributária!A:I,9,)</f>
        <v>Nível 1</v>
      </c>
      <c r="E47" s="96" t="str">
        <f>IFERROR(IF(VLOOKUP("MP044_1",Tributária!J:M,2,)=D47,VLOOKUP("MP044_1",Tributária!J:M,4,),"-"),"-")</f>
        <v>Parametrizar o sistema para cálculo automático de alguns dos impostos incidentes sobre o faturamento (ex: PIS/PASEP), conforme alíquotas estabelecidas na legislação vigente.</v>
      </c>
      <c r="F47" s="96" t="str">
        <f>IFERROR(IF(VLOOKUP("MP044_2",Tributária!J:M,2,)=D47,VLOOKUP("MP044_2",Tributária!J:M,4,),"-"),"-")</f>
        <v>-</v>
      </c>
      <c r="G47" s="96" t="str">
        <f>IFERROR(IF(VLOOKUP("MP044_3",Tributária!J:M,2,)=D47,VLOOKUP("MP044_3",Tributária!J:M,4,),"-"),"-")</f>
        <v>-</v>
      </c>
      <c r="H47" s="96" t="str">
        <f>IFERROR(IF(VLOOKUP("MP044_4",Tributária!J:M,2,)=D47,VLOOKUP("MP044_4",Tributária!J:M,4,),"-"),"-")</f>
        <v>-</v>
      </c>
      <c r="I47" s="97" t="str">
        <f>IFERROR(IF(VLOOKUP("MP044_5",Tributária!J:M,2,)=D47,VLOOKUP("MP044_5",Tributária!J:M,4,),"-"),"-")</f>
        <v>-</v>
      </c>
    </row>
    <row r="48" spans="1:9" ht="30" customHeight="1" x14ac:dyDescent="0.25">
      <c r="A48" s="113"/>
      <c r="B48" s="105" t="s">
        <v>752</v>
      </c>
      <c r="C48" s="102" t="s">
        <v>576</v>
      </c>
      <c r="D48" s="96" t="str">
        <f>VLOOKUP(C48,Tributária!A:I,9,)</f>
        <v>Nível 1</v>
      </c>
      <c r="E48" s="96" t="str">
        <f>IFERROR(IF(VLOOKUP("MP045_1",Tributária!J:M,2,)=D48,VLOOKUP("MP045_1",Tributária!J:M,4,),"-"),"-")</f>
        <v>Estabelecer procedimento para revisão e aprovação das apurações dos tributos indiretos</v>
      </c>
      <c r="F48" s="96" t="str">
        <f>IFERROR(IF(VLOOKUP("MP045_2",Tributária!J:M,2,)=D48,VLOOKUP("MP045_2",Tributária!J:M,4,),"-"),"-")</f>
        <v>Designar profissional com atribuição e qualificação compatível para a revisão da apuração dos tributos indiretos.</v>
      </c>
      <c r="G48" s="96" t="str">
        <f>IFERROR(IF(VLOOKUP("MP045_3",Tributária!J:M,2,)=D48,VLOOKUP("MP045_3",Tributária!J:M,4,),"-"),"-")</f>
        <v>-</v>
      </c>
      <c r="H48" s="96" t="str">
        <f>IFERROR(IF(VLOOKUP("MP045_4",Tributária!J:M,2,)=D48,VLOOKUP("MP045_4",Tributária!J:M,4,),"-"),"-")</f>
        <v>-</v>
      </c>
      <c r="I48" s="97" t="str">
        <f>IFERROR(IF(VLOOKUP("MP045_5",Tributária!J:M,2,)=D48,VLOOKUP("MP045_5",Tributária!J:M,4,),"-"),"-")</f>
        <v>-</v>
      </c>
    </row>
    <row r="49" spans="1:9" ht="30" customHeight="1" x14ac:dyDescent="0.25">
      <c r="A49" s="113"/>
      <c r="B49" s="105" t="s">
        <v>752</v>
      </c>
      <c r="C49" s="102" t="s">
        <v>581</v>
      </c>
      <c r="D49" s="96" t="str">
        <f>VLOOKUP(C49,Tributária!A:I,9,)</f>
        <v>Nível 1</v>
      </c>
      <c r="E49" s="96" t="str">
        <f>IFERROR(IF(VLOOKUP("MP046_1",Tributária!J:M,2,)=D49,VLOOKUP("MP046_1",Tributária!J:M,4,),"-"),"-")</f>
        <v>Estabelecer procedimento para revisão e aprovação das apurações dos tributos diretos</v>
      </c>
      <c r="F49" s="96" t="str">
        <f>IFERROR(IF(VLOOKUP("MP046_2",Tributária!J:M,2,)=D49,VLOOKUP("MP046_2",Tributária!J:M,4,),"-"),"-")</f>
        <v>Designar profissional com atribuição e qualificação compatível para a revisão da apuração dos tributos diretos.</v>
      </c>
      <c r="G49" s="96" t="str">
        <f>IFERROR(IF(VLOOKUP("MP046_3",Tributária!J:M,2,)=D49,VLOOKUP("MP046_3",Tributária!J:M,4,),"-"),"-")</f>
        <v>-</v>
      </c>
      <c r="H49" s="96" t="str">
        <f>IFERROR(IF(VLOOKUP("MP046_4",Tributária!J:M,2,)=D49,VLOOKUP("MP046_4",Tributária!J:M,4,),"-"),"-")</f>
        <v>-</v>
      </c>
      <c r="I49" s="97" t="str">
        <f>IFERROR(IF(VLOOKUP("MP046_5",Tributária!J:M,2,)=D49,VLOOKUP("MP046_5",Tributária!J:M,4,),"-"),"-")</f>
        <v>-</v>
      </c>
    </row>
    <row r="50" spans="1:9" ht="30" x14ac:dyDescent="0.25">
      <c r="A50" s="113"/>
      <c r="B50" s="105" t="s">
        <v>753</v>
      </c>
      <c r="C50" s="102" t="s">
        <v>515</v>
      </c>
      <c r="D50" s="96" t="str">
        <f>VLOOKUP(C50,Ativos!A:I,9,)</f>
        <v>Nível 1</v>
      </c>
      <c r="E50" s="96" t="str">
        <f>IFERROR(IF(VLOOKUP("MP047_1",Ativos!J:M,2,)=D50,VLOOKUP("MP047_1",Ativos!J:M,4,),"-"),"-")</f>
        <v>Priorizar elaboração de normativos compreendidos como mais relevantes.</v>
      </c>
      <c r="F50" s="96" t="str">
        <f>IFERROR(IF(VLOOKUP("MP047_2",Ativos!J:M,2,)=D50,VLOOKUP("MP047_2",Ativos!J:M,4,),"-"),"-")</f>
        <v>Elaboração dos demais normativos.</v>
      </c>
      <c r="G50" s="96" t="str">
        <f>IFERROR(IF(VLOOKUP("MP047_3",Ativos!J:M,2,)=D50,VLOOKUP("MP047_3",Ativos!J:M,4,),"-"),"-")</f>
        <v>-</v>
      </c>
      <c r="H50" s="96" t="str">
        <f>IFERROR(IF(VLOOKUP("MP047_4",Ativos!J:M,2,)=D50,VLOOKUP("MP047_4",Ativos!J:M,4,),"-"),"-")</f>
        <v>-</v>
      </c>
      <c r="I50" s="97" t="str">
        <f>IFERROR(IF(VLOOKUP("MP047_5",Ativos!J:M,2,)=D50,VLOOKUP("MP047_5",Ativos!J:M,4,),"-"),"-")</f>
        <v>-</v>
      </c>
    </row>
    <row r="51" spans="1:9" ht="30" customHeight="1" x14ac:dyDescent="0.25">
      <c r="A51" s="113"/>
      <c r="B51" s="105" t="s">
        <v>753</v>
      </c>
      <c r="C51" s="102" t="s">
        <v>525</v>
      </c>
      <c r="D51" s="96" t="str">
        <f>VLOOKUP(C51,Ativos!A:I,9,)</f>
        <v>Nível 1</v>
      </c>
      <c r="E51" s="96" t="str">
        <f>IFERROR(IF(VLOOKUP("MP048_1",Ativos!J:M,2,)=D51,VLOOKUP("MP048_1",Ativos!J:M,4,),"-"),"-")</f>
        <v>Dentre as atividades destacadas para o processo de gestão de ativos e investimentos, levantar as que são realizadas pelos mesmos profissionais ou áreas.</v>
      </c>
      <c r="F51" s="96" t="str">
        <f>IFERROR(IF(VLOOKUP("MP048_2",Ativos!J:M,2,)=D51,VLOOKUP("MP048_2",Ativos!J:M,4,),"-"),"-")</f>
        <v>Segregar parte das atividades realizadas em profissionais ou áreas distintas.</v>
      </c>
      <c r="G51" s="96" t="str">
        <f>IFERROR(IF(VLOOKUP("MP048_3",Ativos!J:M,2,)=D51,VLOOKUP("MP048_3",Ativos!J:M,4,),"-"),"-")</f>
        <v>-</v>
      </c>
      <c r="H51" s="96" t="str">
        <f>IFERROR(IF(VLOOKUP("MP048_4",Ativos!J:M,2,)=D51,VLOOKUP("MP048_4",Ativos!J:M,4,),"-"),"-")</f>
        <v>-</v>
      </c>
      <c r="I51" s="97" t="str">
        <f>IFERROR(IF(VLOOKUP("MP048_5",Ativos!J:M,2,)=D51,VLOOKUP("MP048_5",Ativos!J:M,4,),"-"),"-")</f>
        <v>-</v>
      </c>
    </row>
    <row r="52" spans="1:9" ht="30" customHeight="1" x14ac:dyDescent="0.25">
      <c r="A52" s="113"/>
      <c r="B52" s="105" t="s">
        <v>753</v>
      </c>
      <c r="C52" s="102" t="s">
        <v>533</v>
      </c>
      <c r="D52" s="96" t="str">
        <f>VLOOKUP(C52,Ativos!A:I,9,)</f>
        <v>Nível 1</v>
      </c>
      <c r="E52" s="96" t="str">
        <f>IFERROR(IF(VLOOKUP("MP049_1",Ativos!J:M,2,)=D52,VLOOKUP("MP049_1",Ativos!J:M,4,),"-"),"-")</f>
        <v>Desenvolver e formalizar procedimento de comunicação formal à área de contabilidade/patrimônio dos projetos encerrados, com o objetivo de realizar a transferência tempestiva do ativo em andamento para o ativo em operação</v>
      </c>
      <c r="F52" s="96" t="str">
        <f>IFERROR(IF(VLOOKUP("MP049_2",Ativos!J:M,2,)=D52,VLOOKUP("MP049_2",Ativos!J:M,4,),"-"),"-")</f>
        <v>-</v>
      </c>
      <c r="G52" s="96" t="str">
        <f>IFERROR(IF(VLOOKUP("MP049_3",Ativos!J:M,2,)=D52,VLOOKUP("MP049_3",Ativos!J:M,4,),"-"),"-")</f>
        <v>-</v>
      </c>
      <c r="H52" s="96" t="str">
        <f>IFERROR(IF(VLOOKUP("MP049_4",Ativos!J:M,2,)=D52,VLOOKUP("MP049_4",Ativos!J:M,4,),"-"),"-")</f>
        <v>-</v>
      </c>
      <c r="I52" s="97" t="str">
        <f>IFERROR(IF(VLOOKUP("MP049_5",Ativos!J:M,2,)=D52,VLOOKUP("MP049_5",Ativos!J:M,4,),"-"),"-")</f>
        <v>-</v>
      </c>
    </row>
    <row r="53" spans="1:9" ht="30" customHeight="1" x14ac:dyDescent="0.25">
      <c r="A53" s="113"/>
      <c r="B53" s="105" t="s">
        <v>753</v>
      </c>
      <c r="C53" s="102" t="s">
        <v>537</v>
      </c>
      <c r="D53" s="96" t="str">
        <f>VLOOKUP(C53,Ativos!A:I,9,)</f>
        <v>Nível 1</v>
      </c>
      <c r="E53" s="96" t="str">
        <f>IFERROR(IF(VLOOKUP("MP050_1",Ativos!J:M,2,)=D53,VLOOKUP("MP050_1",Ativos!J:M,4,),"-"),"-")</f>
        <v>Suportar qualquer reavaliação de ativos através de laudos emitidos por empresas especializadas</v>
      </c>
      <c r="F53" s="96" t="str">
        <f>IFERROR(IF(VLOOKUP("MP050_2",Ativos!J:M,2,)=D53,VLOOKUP("MP050_2",Ativos!J:M,4,),"-"),"-")</f>
        <v>-</v>
      </c>
      <c r="G53" s="96" t="str">
        <f>IFERROR(IF(VLOOKUP("MP050_3",Ativos!J:M,2,)=D53,VLOOKUP("MP050_3",Ativos!J:M,4,),"-"),"-")</f>
        <v>-</v>
      </c>
      <c r="H53" s="96" t="str">
        <f>IFERROR(IF(VLOOKUP("MP050_4",Ativos!J:M,2,)=D53,VLOOKUP("MP050_4",Ativos!J:M,4,),"-"),"-")</f>
        <v>-</v>
      </c>
      <c r="I53" s="97" t="str">
        <f>IFERROR(IF(VLOOKUP("MP050_5",Ativos!J:M,2,)=D53,VLOOKUP("MP050_5",Ativos!J:M,4,),"-"),"-")</f>
        <v>-</v>
      </c>
    </row>
    <row r="54" spans="1:9" ht="30" customHeight="1" x14ac:dyDescent="0.25">
      <c r="A54" s="113"/>
      <c r="B54" s="105" t="s">
        <v>753</v>
      </c>
      <c r="C54" s="102" t="s">
        <v>541</v>
      </c>
      <c r="D54" s="96" t="str">
        <f>VLOOKUP(C54,Ativos!A:I,9,)</f>
        <v>Nível 1</v>
      </c>
      <c r="E54" s="96" t="str">
        <f>IFERROR(IF(VLOOKUP("MP051_1",Ativos!J:M,2,)=D54,VLOOKUP("MP051_1",Ativos!J:M,4,),"-"),"-")</f>
        <v>Realizar parametrização sistêmica para o cálculo automático da depreciação ou amortização dos ativos em operação.</v>
      </c>
      <c r="F54" s="96" t="str">
        <f>IFERROR(IF(VLOOKUP("MP051_2",Ativos!J:M,2,)=D54,VLOOKUP("MP051_2",Ativos!J:M,4,),"-"),"-")</f>
        <v>-</v>
      </c>
      <c r="G54" s="96" t="str">
        <f>IFERROR(IF(VLOOKUP("MP051_3",Ativos!J:M,2,)=D54,VLOOKUP("MP051_3",Ativos!J:M,4,),"-"),"-")</f>
        <v>-</v>
      </c>
      <c r="H54" s="96" t="str">
        <f>IFERROR(IF(VLOOKUP("MP051_4",Ativos!J:M,2,)=D54,VLOOKUP("MP051_4",Ativos!J:M,4,),"-"),"-")</f>
        <v>-</v>
      </c>
      <c r="I54" s="97" t="str">
        <f>IFERROR(IF(VLOOKUP("MP051_5",Ativos!J:M,2,)=D54,VLOOKUP("MP051_5",Ativos!J:M,4,),"-"),"-")</f>
        <v>-</v>
      </c>
    </row>
    <row r="55" spans="1:9" ht="30" customHeight="1" x14ac:dyDescent="0.25">
      <c r="A55" s="113"/>
      <c r="B55" s="105" t="s">
        <v>753</v>
      </c>
      <c r="C55" s="102" t="s">
        <v>544</v>
      </c>
      <c r="D55" s="96" t="str">
        <f>VLOOKUP(C55,Ativos!A:I,9,)</f>
        <v>Nível 1</v>
      </c>
      <c r="E55" s="96" t="str">
        <f>IFERROR(IF(VLOOKUP("MP052_1",Ativos!J:M,2,)=D55,VLOOKUP("MP052_1",Ativos!J:M,4,),"-"),"-")</f>
        <v>Desenvolver e formalizar procedimento para revisão dos itens inseridos no ativo imobilizado/ intangível.</v>
      </c>
      <c r="F55" s="96" t="str">
        <f>IFERROR(IF(VLOOKUP("MP052_2",Ativos!J:M,2,)=D55,VLOOKUP("MP052_2",Ativos!J:M,4,),"-"),"-")</f>
        <v>Designar profissional qualificado para a revisão mensal independente dos itens inseridos no ativo imobilizado/ intangível.</v>
      </c>
      <c r="G55" s="96" t="str">
        <f>IFERROR(IF(VLOOKUP("MP052_3",Ativos!J:M,2,)=D55,VLOOKUP("MP052_3",Ativos!J:M,4,),"-"),"-")</f>
        <v>-</v>
      </c>
      <c r="H55" s="96" t="str">
        <f>IFERROR(IF(VLOOKUP("MP052_4",Ativos!J:M,2,)=D55,VLOOKUP("MP052_4",Ativos!J:M,4,),"-"),"-")</f>
        <v>-</v>
      </c>
      <c r="I55" s="97" t="str">
        <f>IFERROR(IF(VLOOKUP("MP052_5",Ativos!J:M,2,)=D55,VLOOKUP("MP052_5",Ativos!J:M,4,),"-"),"-")</f>
        <v>-</v>
      </c>
    </row>
    <row r="56" spans="1:9" ht="30" customHeight="1" x14ac:dyDescent="0.25">
      <c r="A56" s="113"/>
      <c r="B56" s="105" t="s">
        <v>753</v>
      </c>
      <c r="C56" s="102" t="s">
        <v>549</v>
      </c>
      <c r="D56" s="121" t="str">
        <f>VLOOKUP(C56,Ativos!A:I,9,)</f>
        <v>Nível 1</v>
      </c>
      <c r="E56" s="96" t="str">
        <f>IFERROR(IF(VLOOKUP("MP053_1",Ativos!J:M,2,)=D56,VLOOKUP("MP053_1",Ativos!J:M,4,),"-"),"-")</f>
        <v>Estabelecer procedimento de inventário periódico dos bens registrados no ativo imobilizado e intangível</v>
      </c>
      <c r="F56" s="96" t="str">
        <f>IFERROR(IF(VLOOKUP("MP053_2",Ativos!J:M,2,)=D56,VLOOKUP("MP053_2",Ativos!J:M,4,),"-"),"-")</f>
        <v>-</v>
      </c>
      <c r="G56" s="96" t="str">
        <f>IFERROR(IF(VLOOKUP("MP053_3",Ativos!J:M,2,)=D56,VLOOKUP("MP053_3",Ativos!J:M,4,),"-"),"-")</f>
        <v>-</v>
      </c>
      <c r="H56" s="96" t="str">
        <f>IFERROR(IF(VLOOKUP("MP053_4",Ativos!J:M,2,)=D56,VLOOKUP("MP053_4",Ativos!J:M,4,),"-"),"-")</f>
        <v>-</v>
      </c>
      <c r="I56" s="97" t="str">
        <f>IFERROR(IF(VLOOKUP("MP053_5",Ativos!J:M,2,)=D56,VLOOKUP("MP053_5",Ativos!J:M,4,),"-"),"-")</f>
        <v>-</v>
      </c>
    </row>
    <row r="57" spans="1:9" ht="30" customHeight="1" x14ac:dyDescent="0.25">
      <c r="A57" s="113"/>
      <c r="B57" s="105" t="s">
        <v>753</v>
      </c>
      <c r="C57" s="102" t="s">
        <v>553</v>
      </c>
      <c r="D57" s="96" t="str">
        <f>VLOOKUP(C57,Ativos!A:I,9,)</f>
        <v>Nível 1</v>
      </c>
      <c r="E57" s="96" t="str">
        <f>IFERROR(IF(VLOOKUP("MP054_1",Ativos!J:M,2,)=D57,VLOOKUP("MP054_1",Ativos!J:M,4,),"-"),"-")</f>
        <v>Adquirir sistema / módulo para realizar o gerenciamento financeiro dos projetos de investimento, possibilitando o controle dos custos incorridos por projeto</v>
      </c>
      <c r="F57" s="96" t="str">
        <f>IFERROR(IF(VLOOKUP("MP054_2",Ativos!J:M,2,)=D57,VLOOKUP("MP054_2",Ativos!J:M,4,),"-"),"-")</f>
        <v>-</v>
      </c>
      <c r="G57" s="96" t="str">
        <f>IFERROR(IF(VLOOKUP("MP054_3",Ativos!J:M,2,)=D57,VLOOKUP("MP054_3",Ativos!J:M,4,),"-"),"-")</f>
        <v>-</v>
      </c>
      <c r="H57" s="96" t="str">
        <f>IFERROR(IF(VLOOKUP("MP054_4",Ativos!J:M,2,)=D57,VLOOKUP("MP054_4",Ativos!J:M,4,),"-"),"-")</f>
        <v>-</v>
      </c>
      <c r="I57" s="97" t="str">
        <f>IFERROR(IF(VLOOKUP("MP054_5",Ativos!J:M,2,)=D57,VLOOKUP("MP054_5",Ativos!J:M,4,),"-"),"-")</f>
        <v>-</v>
      </c>
    </row>
    <row r="58" spans="1:9" ht="30" customHeight="1" x14ac:dyDescent="0.25">
      <c r="A58" s="113"/>
      <c r="B58" s="105" t="s">
        <v>753</v>
      </c>
      <c r="C58" s="102" t="s">
        <v>557</v>
      </c>
      <c r="D58" s="96" t="str">
        <f>VLOOKUP(C58,Ativos!A:I,9,)</f>
        <v>Nível 1</v>
      </c>
      <c r="E58" s="96" t="str">
        <f>IFERROR(IF(VLOOKUP("MP055_1",Ativos!J:M,2,)=D58,VLOOKUP("MP055_1",Ativos!J:M,4,),"-"),"-")</f>
        <v>Estabelecer procedimento de abertura formal dos projetos de investimento, seja através de termos de abertura do projeto ou sistemicamente no módulo de gestão</v>
      </c>
      <c r="F58" s="96" t="str">
        <f>IFERROR(IF(VLOOKUP("MP055_2",Ativos!J:M,2,)=D58,VLOOKUP("MP055_2",Ativos!J:M,4,),"-"),"-")</f>
        <v>-</v>
      </c>
      <c r="G58" s="96" t="str">
        <f>IFERROR(IF(VLOOKUP("MP055_3",Ativos!J:M,2,)=D58,VLOOKUP("MP055_3",Ativos!J:M,4,),"-"),"-")</f>
        <v>-</v>
      </c>
      <c r="H58" s="96" t="str">
        <f>IFERROR(IF(VLOOKUP("MP055_4",Ativos!J:M,2,)=D58,VLOOKUP("MP055_4",Ativos!J:M,4,),"-"),"-")</f>
        <v>-</v>
      </c>
      <c r="I58" s="97" t="str">
        <f>IFERROR(IF(VLOOKUP("MP055_5",Ativos!J:M,2,)=D58,VLOOKUP("MP055_5",Ativos!J:M,4,),"-"),"-")</f>
        <v>-</v>
      </c>
    </row>
    <row r="59" spans="1:9" ht="60" x14ac:dyDescent="0.25">
      <c r="A59" s="113"/>
      <c r="B59" s="105" t="s">
        <v>754</v>
      </c>
      <c r="C59" s="102" t="s">
        <v>481</v>
      </c>
      <c r="D59" s="96" t="str">
        <f>VLOOKUP(C59,Contábil!A:I,9,)</f>
        <v>Nível 1</v>
      </c>
      <c r="E59" s="96" t="str">
        <f>IFERROR(IF(VLOOKUP("MP056_1",Contábil!J:M,2,)=D59,VLOOKUP("MP056_1",Contábil!J:M,4,),"-"),"-")</f>
        <v>Realizar parametrização sistêmica para possibilitar a contabilização automática das receitas provenientes no sistema / módulo comercial ou de faturamento</v>
      </c>
      <c r="F59" s="96" t="str">
        <f>IFERROR(IF(VLOOKUP("MP056_2",Contábil!J:M,2,)=D59,VLOOKUP("MP056_2",Contábil!J:M,4,),"-"),"-")</f>
        <v>Criar uma estrutura contábil gerencial suficiente para segregação das receitas por município e atividade.</v>
      </c>
      <c r="G59" s="96" t="str">
        <f>IFERROR(IF(VLOOKUP("MP056_3",Contábil!J:M,2,)=D59,VLOOKUP("MP056_3",Contábil!J:M,4,),"-"),"-")</f>
        <v>-</v>
      </c>
      <c r="H59" s="96" t="str">
        <f>IFERROR(IF(VLOOKUP("MP056_4",Contábil!J:M,2,)=D59,VLOOKUP("MP056_4",Contábil!J:M,4,),"-"),"-")</f>
        <v>-</v>
      </c>
      <c r="I59" s="97" t="str">
        <f>IFERROR(IF(VLOOKUP("MP056_5",Contábil!J:M,2,)=D59,VLOOKUP("MP056_5",Contábil!J:M,4,),"-"),"-")</f>
        <v>-</v>
      </c>
    </row>
    <row r="60" spans="1:9" ht="60" customHeight="1" x14ac:dyDescent="0.25">
      <c r="A60" s="113"/>
      <c r="B60" s="105" t="s">
        <v>754</v>
      </c>
      <c r="C60" s="102" t="s">
        <v>486</v>
      </c>
      <c r="D60" s="96" t="str">
        <f>VLOOKUP(C60,Contábil!A:I,9,)</f>
        <v>Nível 1</v>
      </c>
      <c r="E60" s="96" t="str">
        <f>IFERROR(IF(VLOOKUP("MP057_1",Contábil!J:M,2,)=D60,VLOOKUP("MP057_1",Contábil!J:M,4,),"-"),"-")</f>
        <v>Priorizar elaboração de normativos compreendidos como mais relevantes.</v>
      </c>
      <c r="F60" s="96" t="str">
        <f>IFERROR(IF(VLOOKUP("MP057_2",Contábil!J:M,2,)=D60,VLOOKUP("MP057_2",Contábil!J:M,4,),"-"),"-")</f>
        <v>Elaboração dos demais normativos.</v>
      </c>
      <c r="G60" s="96" t="str">
        <f>IFERROR(IF(VLOOKUP("MP057_3",Contábil!J:M,2,)=D60,VLOOKUP("MP057_3",Contábil!J:M,4,),"-"),"-")</f>
        <v>-</v>
      </c>
      <c r="H60" s="96" t="str">
        <f>IFERROR(IF(VLOOKUP("MP057_4",Contábil!J:M,2,)=D60,VLOOKUP("MP057_4",Contábil!J:M,4,),"-"),"-")</f>
        <v>-</v>
      </c>
      <c r="I60" s="97" t="str">
        <f>IFERROR(IF(VLOOKUP("MP057_5",Contábil!J:M,2,)=D60,VLOOKUP("MP057_5",Contábil!J:M,4,),"-"),"-")</f>
        <v>-</v>
      </c>
    </row>
    <row r="61" spans="1:9" ht="60" customHeight="1" x14ac:dyDescent="0.25">
      <c r="A61" s="113"/>
      <c r="B61" s="105" t="s">
        <v>754</v>
      </c>
      <c r="C61" s="102" t="s">
        <v>493</v>
      </c>
      <c r="D61" s="96" t="str">
        <f>VLOOKUP(C61,Contábil!A:I,9,)</f>
        <v>Nível 1</v>
      </c>
      <c r="E61" s="96" t="str">
        <f>IFERROR(IF(VLOOKUP("MP058_1",Contábil!J:M,2,)=D61,VLOOKUP("MP058_1",Contábil!J:M,4,),"-"),"-")</f>
        <v>Desenvolver e formalizar procedimento de revisão independente dos lançamentos e ajustes manuais direto no razão. Este procedimento pode ser uma revisão mensal abrangente dos lançamentos manuais ou uma parametrização do sistema para que qualquer lançamento manual seja submetido à aprovação por um nível de supervisão adequado.</v>
      </c>
      <c r="F61" s="96" t="str">
        <f>IFERROR(IF(VLOOKUP("MP058_2",Contábil!J:M,2,)=D61,VLOOKUP("MP058_2",Contábil!J:M,4,),"-"),"-")</f>
        <v>-</v>
      </c>
      <c r="G61" s="96" t="str">
        <f>IFERROR(IF(VLOOKUP("MP058_3",Contábil!J:M,2,)=D61,VLOOKUP("MP058_3",Contábil!J:M,4,),"-"),"-")</f>
        <v>-</v>
      </c>
      <c r="H61" s="96" t="str">
        <f>IFERROR(IF(VLOOKUP("MP058_4",Contábil!J:M,2,)=D61,VLOOKUP("MP058_4",Contábil!J:M,4,),"-"),"-")</f>
        <v>-</v>
      </c>
      <c r="I61" s="97" t="str">
        <f>IFERROR(IF(VLOOKUP("MP058_5",Contábil!J:M,2,)=D61,VLOOKUP("MP058_5",Contábil!J:M,4,),"-"),"-")</f>
        <v>-</v>
      </c>
    </row>
    <row r="62" spans="1:9" ht="60" customHeight="1" x14ac:dyDescent="0.25">
      <c r="A62" s="113"/>
      <c r="B62" s="105" t="s">
        <v>754</v>
      </c>
      <c r="C62" s="102" t="s">
        <v>496</v>
      </c>
      <c r="D62" s="96" t="str">
        <f>VLOOKUP(C62,Contábil!A:I,9,)</f>
        <v>Nível 1</v>
      </c>
      <c r="E62" s="96" t="str">
        <f>IFERROR(IF(VLOOKUP("MP059_1",Contábil!J:M,2,)=D62,VLOOKUP("MP059_1",Contábil!J:M,4,),"-"),"-")</f>
        <v>Definir e formalizar procedimento para executar procedimentos analíticos (análises horizontais e verticais) mensais para a identificação de potenciais inconsistências nos demonstrativos financeiros</v>
      </c>
      <c r="F62" s="96" t="str">
        <f>IFERROR(IF(VLOOKUP("MP059_2",Contábil!J:M,2,)=D62,VLOOKUP("MP059_2",Contábil!J:M,4,),"-"),"-")</f>
        <v>-</v>
      </c>
      <c r="G62" s="96" t="str">
        <f>IFERROR(IF(VLOOKUP("MP059_3",Contábil!J:M,2,)=D62,VLOOKUP("MP059_3",Contábil!J:M,4,),"-"),"-")</f>
        <v>-</v>
      </c>
      <c r="H62" s="96" t="str">
        <f>IFERROR(IF(VLOOKUP("MP059_4",Contábil!J:M,2,)=D62,VLOOKUP("MP059_4",Contábil!J:M,4,),"-"),"-")</f>
        <v>-</v>
      </c>
      <c r="I62" s="97" t="str">
        <f>IFERROR(IF(VLOOKUP("MP059_5",Contábil!J:M,2,)=D62,VLOOKUP("MP059_5",Contábil!J:M,4,),"-"),"-")</f>
        <v>-</v>
      </c>
    </row>
    <row r="63" spans="1:9" ht="60" x14ac:dyDescent="0.25">
      <c r="A63" s="113"/>
      <c r="B63" s="105" t="s">
        <v>754</v>
      </c>
      <c r="C63" s="102" t="s">
        <v>500</v>
      </c>
      <c r="D63" s="96" t="str">
        <f>VLOOKUP(C63,Contábil!A:I,9,)</f>
        <v>Nível 1</v>
      </c>
      <c r="E63" s="96" t="str">
        <f>IFERROR(IF(VLOOKUP("MP060_1",Contábil!J:M,2,)=D63,VLOOKUP("MP060_1",Contábil!J:M,4,),"-"),"-")</f>
        <v>Efetuar parametrização sistêmica para impossibilitar lançamentos inconsistentes ou após o fechamento do período contábil</v>
      </c>
      <c r="F63" s="96" t="str">
        <f>IFERROR(IF(VLOOKUP("MP060_2",Contábil!J:M,2,)=D63,VLOOKUP("MP060_2",Contábil!J:M,4,),"-"),"-")</f>
        <v>-</v>
      </c>
      <c r="G63" s="96" t="str">
        <f>IFERROR(IF(VLOOKUP("MP060_3",Contábil!J:M,2,)=D63,VLOOKUP("MP060_3",Contábil!J:M,4,),"-"),"-")</f>
        <v>-</v>
      </c>
      <c r="H63" s="96" t="str">
        <f>IFERROR(IF(VLOOKUP("MP060_4",Contábil!J:M,2,)=D63,VLOOKUP("MP060_4",Contábil!J:M,4,),"-"),"-")</f>
        <v>-</v>
      </c>
      <c r="I63" s="97" t="str">
        <f>IFERROR(IF(VLOOKUP("MP060_5",Contábil!J:M,2,)=D63,VLOOKUP("MP060_5",Contábil!J:M,4,),"-"),"-")</f>
        <v>-</v>
      </c>
    </row>
    <row r="64" spans="1:9" ht="60" customHeight="1" x14ac:dyDescent="0.25">
      <c r="A64" s="113"/>
      <c r="B64" s="105" t="s">
        <v>754</v>
      </c>
      <c r="C64" s="102" t="s">
        <v>503</v>
      </c>
      <c r="D64" s="96" t="str">
        <f>VLOOKUP(C64,Contábil!A:I,9,)</f>
        <v>Nível 1</v>
      </c>
      <c r="E64" s="96" t="str">
        <f>IFERROR(IF(VLOOKUP("MP061_1",Contábil!J:M,2,)=D64,VLOOKUP("MP061_1",Contábil!J:M,4,),"-"),"-")</f>
        <v>Estabelecer critérios formais e formalizar procedimento para o cálculo da PCLD</v>
      </c>
      <c r="F64" s="96" t="str">
        <f>IFERROR(IF(VLOOKUP("MP061_2",Contábil!J:M,2,)=D64,VLOOKUP("MP061_2",Contábil!J:M,4,),"-"),"-")</f>
        <v>Designar profissional qualificado para realização dos cálculos da provisão</v>
      </c>
      <c r="G64" s="96" t="str">
        <f>IFERROR(IF(VLOOKUP("MP061_3",Contábil!J:M,2,)=D64,VLOOKUP("MP061_3",Contábil!J:M,4,),"-"),"-")</f>
        <v>Desenvolver e formalizar procedimento de revisão do cálculo da PCLD.</v>
      </c>
      <c r="H64" s="96" t="str">
        <f>IFERROR(IF(VLOOKUP("MP061_4",Contábil!J:M,2,)=D64,VLOOKUP("MP061_4",Contábil!J:M,4,),"-"),"-")</f>
        <v>-</v>
      </c>
      <c r="I64" s="97" t="str">
        <f>IFERROR(IF(VLOOKUP("MP061_5",Contábil!J:M,2,)=D64,VLOOKUP("MP061_5",Contábil!J:M,4,),"-"),"-")</f>
        <v>-</v>
      </c>
    </row>
    <row r="65" spans="1:9" ht="60" x14ac:dyDescent="0.25">
      <c r="A65" s="113"/>
      <c r="B65" s="105" t="s">
        <v>754</v>
      </c>
      <c r="C65" s="102" t="s">
        <v>507</v>
      </c>
      <c r="D65" s="96" t="str">
        <f>VLOOKUP(C65,Contábil!A:I,9,)</f>
        <v>Nível 1</v>
      </c>
      <c r="E65" s="96" t="str">
        <f>IFERROR(IF(VLOOKUP("MP062_1",Contábil!J:M,2,)=D65,VLOOKUP("MP062_1",Contábil!J:M,4,),"-"),"-")</f>
        <v>Estabelecer uma estrutura contábil gerencial no sistema de gestão que permita segregar os gastos por município e/ou serviço.</v>
      </c>
      <c r="F65" s="96" t="str">
        <f>IFERROR(IF(VLOOKUP("MP062_2",Contábil!J:M,2,)=D65,VLOOKUP("MP062_2",Contábil!J:M,4,),"-"),"-")</f>
        <v>-</v>
      </c>
      <c r="G65" s="96" t="str">
        <f>IFERROR(IF(VLOOKUP("MP062_3",Contábil!J:M,2,)=D65,VLOOKUP("MP062_3",Contábil!J:M,4,),"-"),"-")</f>
        <v>-</v>
      </c>
      <c r="H65" s="96" t="str">
        <f>IFERROR(IF(VLOOKUP("MP062_4",Contábil!J:M,2,)=D65,VLOOKUP("MP062_4",Contábil!J:M,4,),"-"),"-")</f>
        <v>-</v>
      </c>
      <c r="I65" s="97" t="str">
        <f>IFERROR(IF(VLOOKUP("MP062_5",Contábil!J:M,2,)=D65,VLOOKUP("MP062_5",Contábil!J:M,4,),"-"),"-")</f>
        <v>-</v>
      </c>
    </row>
    <row r="66" spans="1:9" ht="60" customHeight="1" x14ac:dyDescent="0.25">
      <c r="A66" s="113"/>
      <c r="B66" s="105" t="s">
        <v>754</v>
      </c>
      <c r="C66" s="102" t="s">
        <v>509</v>
      </c>
      <c r="D66" s="96" t="str">
        <f>VLOOKUP(C66,Contábil!A:I,9,)</f>
        <v>Nível 1</v>
      </c>
      <c r="E66" s="96" t="str">
        <f>IFERROR(IF(VLOOKUP("MP063_1",Contábil!J:M,2,)=D66,VLOOKUP("MP063_1",Contábil!J:M,4,),"-"),"-")</f>
        <v>Estabelecer procedimento de revisão mensal das demonstrações financeiras</v>
      </c>
      <c r="F66" s="96" t="str">
        <f>IFERROR(IF(VLOOKUP("MP063_2",Contábil!J:M,2,)=D66,VLOOKUP("MP063_2",Contábil!J:M,4,),"-"),"-")</f>
        <v>Designar profissional qualificado para realização da revisão</v>
      </c>
      <c r="G66" s="96" t="str">
        <f>IFERROR(IF(VLOOKUP("MP063_3",Contábil!J:M,2,)=D66,VLOOKUP("MP063_3",Contábil!J:M,4,),"-"),"-")</f>
        <v>-</v>
      </c>
      <c r="H66" s="96" t="str">
        <f>IFERROR(IF(VLOOKUP("MP063_4",Contábil!J:M,2,)=D66,VLOOKUP("MP063_4",Contábil!J:M,4,),"-"),"-")</f>
        <v>-</v>
      </c>
      <c r="I66" s="97" t="str">
        <f>IFERROR(IF(VLOOKUP("MP063_5",Contábil!J:M,2,)=D66,VLOOKUP("MP063_5",Contábil!J:M,4,),"-"),"-")</f>
        <v>-</v>
      </c>
    </row>
    <row r="67" spans="1:9" ht="135" x14ac:dyDescent="0.25">
      <c r="A67" s="113"/>
      <c r="B67" s="105" t="s">
        <v>755</v>
      </c>
      <c r="C67" s="102" t="s">
        <v>715</v>
      </c>
      <c r="D67" s="96" t="str">
        <f>VLOOKUP(C67,Monitoramento!A:I,9,)</f>
        <v>Nível 1</v>
      </c>
      <c r="E67" s="96" t="str">
        <f>IFERROR(IF(VLOOKUP("MP064_1",Monitoramento!J:M,2,)=D67,VLOOKUP("MP064_1",Monitoramento!J:M,4,),"-"),"-")</f>
        <v>Dentre as atividades destacadas para o processo de monitoramento dos índices de atendimento, devem ser selecionadas as que possuem maior impacto nos resultados da organização. Depois da priorização, os normativos devem ser elaborados e formalmente divulgadas nos meios institucionais de comunicação (Ex: intranet).</v>
      </c>
      <c r="F67" s="96" t="str">
        <f>IFERROR(IF(VLOOKUP("MP064_2",Monitoramento!J:M,2,)=D67,VLOOKUP("MP064_2",Monitoramento!J:M,4,),"-"),"-")</f>
        <v>-</v>
      </c>
      <c r="G67" s="96" t="str">
        <f>IFERROR(IF(VLOOKUP("MP064_3",Monitoramento!J:M,2,)=D67,VLOOKUP("MP064_3",Monitoramento!J:M,4,),"-"),"-")</f>
        <v>-</v>
      </c>
      <c r="H67" s="96" t="str">
        <f>IFERROR(IF(VLOOKUP("MP064_4",Monitoramento!J:M,2,)=D67,VLOOKUP("MP064_4",Monitoramento!J:M,4,),"-"),"-")</f>
        <v>-</v>
      </c>
      <c r="I67" s="97" t="str">
        <f>IFERROR(IF(VLOOKUP("MP064_5",Monitoramento!J:M,2,)=D67,VLOOKUP("MP064_5",Monitoramento!J:M,4,),"-"),"-")</f>
        <v>-</v>
      </c>
    </row>
    <row r="68" spans="1:9" ht="135" customHeight="1" x14ac:dyDescent="0.25">
      <c r="A68" s="113"/>
      <c r="B68" s="105" t="s">
        <v>755</v>
      </c>
      <c r="C68" s="102" t="s">
        <v>716</v>
      </c>
      <c r="D68" s="96" t="str">
        <f>VLOOKUP(C68,Monitoramento!A:I,9,)</f>
        <v>Nível 1</v>
      </c>
      <c r="E68" s="96" t="str">
        <f>IFERROR(IF(VLOOKUP("MP065_1",Monitoramento!J:M,2,)=D68,VLOOKUP("MP065_1",Monitoramento!J:M,4,),"-"),"-")</f>
        <v>Estimar a quantidade de domicílios atendidos que não contam com população residente através de informações fornecidas pelo IBGE no último Censo.</v>
      </c>
      <c r="F68" s="96" t="str">
        <f>IFERROR(IF(VLOOKUP("MP065_2",Monitoramento!J:M,2,)=D68,VLOOKUP("MP065_2",Monitoramento!J:M,4,),"-"),"-")</f>
        <v>-</v>
      </c>
      <c r="G68" s="96" t="str">
        <f>IFERROR(IF(VLOOKUP("MP065_3",Monitoramento!J:M,2,)=D68,VLOOKUP("MP065_3",Monitoramento!J:M,4,),"-"),"-")</f>
        <v>-</v>
      </c>
      <c r="H68" s="96" t="str">
        <f>IFERROR(IF(VLOOKUP("MP065_4",Monitoramento!J:M,2,)=D68,VLOOKUP("MP065_4",Monitoramento!J:M,4,),"-"),"-")</f>
        <v>-</v>
      </c>
      <c r="I68" s="97" t="str">
        <f>IFERROR(IF(VLOOKUP("MP065_5",Monitoramento!J:M,2,)=D68,VLOOKUP("MP065_5",Monitoramento!J:M,4,),"-"),"-")</f>
        <v>-</v>
      </c>
    </row>
    <row r="69" spans="1:9" ht="135" customHeight="1" x14ac:dyDescent="0.25">
      <c r="A69" s="113"/>
      <c r="B69" s="105" t="s">
        <v>755</v>
      </c>
      <c r="C69" s="102" t="s">
        <v>717</v>
      </c>
      <c r="D69" s="96" t="str">
        <f>VLOOKUP(C69,Monitoramento!A:I,9,)</f>
        <v>Nível 1</v>
      </c>
      <c r="E69" s="96" t="str">
        <f>IFERROR(IF(VLOOKUP("MP066_1",Monitoramento!J:M,2,)=D69,VLOOKUP("MP066_1",Monitoramento!J:M,4,),"-"),"-")</f>
        <v>Realizar a estimativa do percentual de domicílios localizados nas áreas urbanas dos municípios atendidos a partir de informações fornecidas pelo IBGE no último Censo.</v>
      </c>
      <c r="F69" s="96" t="str">
        <f>IFERROR(IF(VLOOKUP("MP066_2",Monitoramento!J:M,2,)=D69,VLOOKUP("MP066_2",Monitoramento!J:M,4,),"-"),"-")</f>
        <v>-</v>
      </c>
      <c r="G69" s="96" t="str">
        <f>IFERROR(IF(VLOOKUP("MP066_3",Monitoramento!J:M,2,)=D69,VLOOKUP("MP066_3",Monitoramento!J:M,4,),"-"),"-")</f>
        <v>-</v>
      </c>
      <c r="H69" s="96" t="str">
        <f>IFERROR(IF(VLOOKUP("MP066_4",Monitoramento!J:M,2,)=D69,VLOOKUP("MP066_4",Monitoramento!J:M,4,),"-"),"-")</f>
        <v>-</v>
      </c>
      <c r="I69" s="97" t="str">
        <f>IFERROR(IF(VLOOKUP("MP066_5",Monitoramento!J:M,2,)=D69,VLOOKUP("MP066_5",Monitoramento!J:M,4,),"-"),"-")</f>
        <v>-</v>
      </c>
    </row>
    <row r="70" spans="1:9" ht="135" customHeight="1" x14ac:dyDescent="0.25">
      <c r="A70" s="113"/>
      <c r="B70" s="105" t="s">
        <v>755</v>
      </c>
      <c r="C70" s="102" t="s">
        <v>718</v>
      </c>
      <c r="D70" s="96" t="str">
        <f>VLOOKUP(C70,Monitoramento!A:I,9,)</f>
        <v>Nível 1</v>
      </c>
      <c r="E70" s="96" t="str">
        <f>IFERROR(IF(VLOOKUP("MP067_1",Monitoramento!J:M,2,)=D70,VLOOKUP("MP067_1",Monitoramento!J:M,4,),"-"),"-")</f>
        <v>Desenvolver metodologia para cálculo estimado das informações de população atendida.</v>
      </c>
      <c r="F70" s="96" t="str">
        <f>IFERROR(IF(VLOOKUP("MP067_2",Monitoramento!J:M,2,)=D70,VLOOKUP("MP067_2",Monitoramento!J:M,4,),"-"),"-")</f>
        <v>-</v>
      </c>
      <c r="G70" s="96" t="str">
        <f>IFERROR(IF(VLOOKUP("MP067_3",Monitoramento!J:M,2,)=D70,VLOOKUP("MP067_3",Monitoramento!J:M,4,),"-"),"-")</f>
        <v>-</v>
      </c>
      <c r="H70" s="96" t="str">
        <f>IFERROR(IF(VLOOKUP("MP067_4",Monitoramento!J:M,2,)=D70,VLOOKUP("MP067_4",Monitoramento!J:M,4,),"-"),"-")</f>
        <v>-</v>
      </c>
      <c r="I70" s="97" t="str">
        <f>IFERROR(IF(VLOOKUP("MP067_5",Monitoramento!J:M,2,)=D70,VLOOKUP("MP067_5",Monitoramento!J:M,4,),"-"),"-")</f>
        <v>-</v>
      </c>
    </row>
    <row r="71" spans="1:9" ht="135" x14ac:dyDescent="0.25">
      <c r="A71" s="113"/>
      <c r="B71" s="105" t="s">
        <v>756</v>
      </c>
      <c r="C71" s="102" t="s">
        <v>358</v>
      </c>
      <c r="D71" s="96" t="str">
        <f>VLOOKUP(C71,Cadastro_Redes!A:I,9,)</f>
        <v>Nível 1</v>
      </c>
      <c r="E71" s="96" t="str">
        <f>IFERROR(IF(VLOOKUP("MP068_1",Cadastro_Redes!J:M,2,)=D71,VLOOKUP("MP068_1",Cadastro_Redes!J:M,4,),"-"),"-")</f>
        <v>Dentre as atividades destacadas para o processo de manutenção do cadastro de redes, devem ser selecionadas as que possuem maior impacto nos resultados da organização. Depois da
priorização, os normativos devem ser elaborados e formalmente divulgadas nos meios institucionais de comunicação (Ex: intranet).</v>
      </c>
      <c r="F71" s="96" t="str">
        <f>IFERROR(IF(VLOOKUP("MP068_2",Cadastro_Redes!J:M,2,)=D71,VLOOKUP("MP068_2",Cadastro_Redes!J:M,4,),"-"),"-")</f>
        <v>Realizar o levantamento das atividades do processo de manutenção do cadastro de redes que não possuem políticas, normas e/ou procedimentos e promover a elaboração e divulgação dos normativos nos meios institucionais de comunicação (Ex: intranet).</v>
      </c>
      <c r="G71" s="96" t="str">
        <f>IFERROR(IF(VLOOKUP("MP068_3",Cadastro_Redes!J:M,2,)=D71,VLOOKUP("MP068_3",Cadastro_Redes!J:M,4,),"-"),"-")</f>
        <v>-</v>
      </c>
      <c r="H71" s="96" t="str">
        <f>IFERROR(IF(VLOOKUP("MP068_4",Cadastro_Redes!J:M,2,)=D71,VLOOKUP("MP068_4",Cadastro_Redes!J:M,4,),"-"),"-")</f>
        <v>-</v>
      </c>
      <c r="I71" s="97" t="str">
        <f>IFERROR(IF(VLOOKUP("MP068_5",Cadastro_Redes!J:M,2,)=D71,VLOOKUP("MP068_5",Cadastro_Redes!J:M,4,),"-"),"-")</f>
        <v>-</v>
      </c>
    </row>
    <row r="72" spans="1:9" ht="45" x14ac:dyDescent="0.25">
      <c r="A72" s="113"/>
      <c r="B72" s="105" t="s">
        <v>756</v>
      </c>
      <c r="C72" s="102" t="s">
        <v>367</v>
      </c>
      <c r="D72" s="96" t="str">
        <f>VLOOKUP(C72,Cadastro_Redes!A:I,9,)</f>
        <v>Nível 1</v>
      </c>
      <c r="E72" s="96" t="str">
        <f>IFERROR(IF(VLOOKUP("MP069_1",Cadastro_Redes!J:M,2,)=D72,VLOOKUP("MP069_1",Cadastro_Redes!J:M,4,),"-"),"-")</f>
        <v>Avaliar a possibilidade de segregar as atividades destacadas em profissionais ou áreas distintas.</v>
      </c>
      <c r="F72" s="96" t="str">
        <f>IFERROR(IF(VLOOKUP("MP069_2",Cadastro_Redes!J:M,2,)=D72,VLOOKUP("MP069_2",Cadastro_Redes!J:M,4,),"-"),"-")</f>
        <v>-</v>
      </c>
      <c r="G72" s="96" t="str">
        <f>IFERROR(IF(VLOOKUP("MP069_3",Cadastro_Redes!J:M,2,)=D72,VLOOKUP("MP069_3",Cadastro_Redes!J:M,4,),"-"),"-")</f>
        <v>-</v>
      </c>
      <c r="H72" s="96" t="str">
        <f>IFERROR(IF(VLOOKUP("MP069_4",Cadastro_Redes!J:M,2,)=D72,VLOOKUP("MP069_4",Cadastro_Redes!J:M,4,),"-"),"-")</f>
        <v>-</v>
      </c>
      <c r="I72" s="97" t="str">
        <f>IFERROR(IF(VLOOKUP("MP069_5",Cadastro_Redes!J:M,2,)=D72,VLOOKUP("MP069_5",Cadastro_Redes!J:M,4,),"-"),"-")</f>
        <v>-</v>
      </c>
    </row>
    <row r="73" spans="1:9" ht="75" x14ac:dyDescent="0.25">
      <c r="A73" s="113"/>
      <c r="B73" s="105" t="s">
        <v>756</v>
      </c>
      <c r="C73" s="102" t="s">
        <v>371</v>
      </c>
      <c r="D73" s="96" t="str">
        <f>VLOOKUP(C73,Cadastro_Redes!A:I,9,)</f>
        <v>Nível 1</v>
      </c>
      <c r="E73" s="96" t="str">
        <f>IFERROR(IF(VLOOKUP("MP070_1",Cadastro_Redes!J:M,2,)=D73,VLOOKUP("MP070_1",Cadastro_Redes!J:M,4,),"-"),"-")</f>
        <v>Realizar o arquivamento das plantas as built das obras de ampliação e substituição realizadas nas redes de abastecimento de água e esgotamento sanitário.</v>
      </c>
      <c r="F73" s="96" t="str">
        <f>IFERROR(IF(VLOOKUP("MP070_2",Cadastro_Redes!J:M,2,)=D73,VLOOKUP("MP070_2",Cadastro_Redes!J:M,4,),"-"),"-")</f>
        <v>-</v>
      </c>
      <c r="G73" s="96" t="str">
        <f>IFERROR(IF(VLOOKUP("MP070_3",Cadastro_Redes!J:M,2,)=D73,VLOOKUP("MP070_3",Cadastro_Redes!J:M,4,),"-"),"-")</f>
        <v>-</v>
      </c>
      <c r="H73" s="96" t="str">
        <f>IFERROR(IF(VLOOKUP("MP070_4",Cadastro_Redes!J:M,2,)=D73,VLOOKUP("MP070_4",Cadastro_Redes!J:M,4,),"-"),"-")</f>
        <v>-</v>
      </c>
      <c r="I73" s="97" t="str">
        <f>IFERROR(IF(VLOOKUP("MP070_5",Cadastro_Redes!J:M,2,)=D73,VLOOKUP("MP070_5",Cadastro_Redes!J:M,4,),"-"),"-")</f>
        <v>-</v>
      </c>
    </row>
    <row r="74" spans="1:9" ht="90" x14ac:dyDescent="0.25">
      <c r="A74" s="113"/>
      <c r="B74" s="105" t="s">
        <v>756</v>
      </c>
      <c r="C74" s="102" t="s">
        <v>376</v>
      </c>
      <c r="D74" s="96" t="str">
        <f>VLOOKUP(C74,Cadastro_Redes!A:I,9,)</f>
        <v>Nível 1</v>
      </c>
      <c r="E74" s="96" t="str">
        <f>IFERROR(IF(VLOOKUP("MP071_1",Cadastro_Redes!J:M,2,)=D74,VLOOKUP("MP071_1",Cadastro_Redes!J:M,4,),"-"),"-")</f>
        <v>Adquirir/desenvolver sistema informatizado para realizar o cadastro de redes, com funcionalidades de geração de relatórios com a posição das extensões de rede e consulta ao histórico de alterações.</v>
      </c>
      <c r="F74" s="96" t="str">
        <f>IFERROR(IF(VLOOKUP("MP071_2",Cadastro_Redes!J:M,2,)=D74,VLOOKUP("MP071_2",Cadastro_Redes!J:M,4,),"-"),"-")</f>
        <v>-</v>
      </c>
      <c r="G74" s="96" t="str">
        <f>IFERROR(IF(VLOOKUP("MP071_3",Cadastro_Redes!J:M,2,)=D74,VLOOKUP("MP071_3",Cadastro_Redes!J:M,4,),"-"),"-")</f>
        <v>-</v>
      </c>
      <c r="H74" s="96" t="str">
        <f>IFERROR(IF(VLOOKUP("MP071_4",Cadastro_Redes!J:M,2,)=D74,VLOOKUP("MP071_4",Cadastro_Redes!J:M,4,),"-"),"-")</f>
        <v>-</v>
      </c>
      <c r="I74" s="97" t="str">
        <f>IFERROR(IF(VLOOKUP("MP071_5",Cadastro_Redes!J:M,2,)=D74,VLOOKUP("MP071_5",Cadastro_Redes!J:M,4,),"-"),"-")</f>
        <v>-</v>
      </c>
    </row>
    <row r="75" spans="1:9" ht="120" x14ac:dyDescent="0.25">
      <c r="A75" s="113"/>
      <c r="B75" s="105" t="s">
        <v>756</v>
      </c>
      <c r="C75" s="102" t="s">
        <v>380</v>
      </c>
      <c r="D75" s="96" t="str">
        <f>VLOOKUP(C75,Cadastro_Redes!A:I,9,)</f>
        <v>Nível 1</v>
      </c>
      <c r="E75" s="96" t="str">
        <f>IFERROR(IF(VLOOKUP("MP072_1",Cadastro_Redes!J:M,2,)=D75,VLOOKUP("MP072_1",Cadastro_Redes!J:M,4,),"-"),"-")</f>
        <v>Efetuar parametrização no sistema utilizado para cadastramento de redes de água e esgoto para a realização de críticas automáticas das informações de extensão, sinalizando distorções e valores incompatíveis com as obras realizadas, bem como variações não usuais em um curto período de tempo.</v>
      </c>
      <c r="F75" s="96" t="str">
        <f>IFERROR(IF(VLOOKUP("MP072_2",Cadastro_Redes!J:M,2,)=D75,VLOOKUP("MP072_2",Cadastro_Redes!J:M,4,),"-"),"-")</f>
        <v>-</v>
      </c>
      <c r="G75" s="96" t="str">
        <f>IFERROR(IF(VLOOKUP("MP072_3",Cadastro_Redes!J:M,2,)=D75,VLOOKUP("MP072_3",Cadastro_Redes!J:M,4,),"-"),"-")</f>
        <v>-</v>
      </c>
      <c r="H75" s="96" t="str">
        <f>IFERROR(IF(VLOOKUP("MP072_4",Cadastro_Redes!J:M,2,)=D75,VLOOKUP("MP072_4",Cadastro_Redes!J:M,4,),"-"),"-")</f>
        <v>-</v>
      </c>
      <c r="I75" s="97" t="str">
        <f>IFERROR(IF(VLOOKUP("MP072_5",Cadastro_Redes!J:M,2,)=D75,VLOOKUP("MP072_5",Cadastro_Redes!J:M,4,),"-"),"-")</f>
        <v>-</v>
      </c>
    </row>
    <row r="76" spans="1:9" ht="120" x14ac:dyDescent="0.25">
      <c r="A76" s="113"/>
      <c r="B76" s="105" t="s">
        <v>757</v>
      </c>
      <c r="C76" s="102" t="s">
        <v>455</v>
      </c>
      <c r="D76" s="96" t="str">
        <f>VLOOKUP(C76,Operacional!A:I,9,)</f>
        <v>Nível 1</v>
      </c>
      <c r="E76" s="96" t="str">
        <f>IFERROR(IF(VLOOKUP("MP073_1",Operacional!J:M,2,)=D76,VLOOKUP("MP073_1",Operacional!J:M,4,),"-"),"-")</f>
        <v>Dentre as atividades destacadas para o processo operacional, devem ser selecionadas as que possuem maior impacto nos resultados da organização. Depois da priorização, os normativos devem ser elaborados e formalmente divulgadas nos meios institucionais de comunicação (Ex: intranet).</v>
      </c>
      <c r="F76" s="96" t="str">
        <f>IFERROR(IF(VLOOKUP("MP073_2",Operacional!J:M,2,)=D76,VLOOKUP("MP073_2",Operacional!J:M,4,),"-"),"-")</f>
        <v>Realizar o levantamento das atividades do processo operacional que não possuem políticas, normas e/ou procedimentos e promover a elaboração e divulgação dos normativos nos meios institucionais de comunicação (Ex: intranet).</v>
      </c>
      <c r="G76" s="96" t="str">
        <f>IFERROR(IF(VLOOKUP("MP073_3",Operacional!J:M,2,)=D76,VLOOKUP("MP073_3",Operacional!J:M,4,),"-"),"-")</f>
        <v>-</v>
      </c>
      <c r="H76" s="96" t="str">
        <f>IFERROR(IF(VLOOKUP("MP073_4",Operacional!J:M,2,)=D76,VLOOKUP("MP073_4",Operacional!J:M,4,),"-"),"-")</f>
        <v>-</v>
      </c>
      <c r="I76" s="97" t="str">
        <f>IFERROR(IF(VLOOKUP("MP073_5",Operacional!J:M,2,)=D76,VLOOKUP("MP073_5",Operacional!J:M,4,),"-"),"-")</f>
        <v>-</v>
      </c>
    </row>
    <row r="77" spans="1:9" ht="90" x14ac:dyDescent="0.25">
      <c r="A77" s="113"/>
      <c r="B77" s="105" t="s">
        <v>757</v>
      </c>
      <c r="C77" s="102" t="s">
        <v>450</v>
      </c>
      <c r="D77" s="96" t="str">
        <f>VLOOKUP(C77,Operacional!A:I,9,)</f>
        <v>Nível 1</v>
      </c>
      <c r="E77" s="96" t="str">
        <f>IFERROR(IF(VLOOKUP("MP074_1",Operacional!J:M,2,)=D77,VLOOKUP("MP074_1",Operacional!J:M,4,),"-"),"-")</f>
        <v>Realizar cadastramento dos macromedidores, registrando as informações de localização geográfica, marca/modelo, especificações técnicas e data de instalação e de outras operações relevantes.</v>
      </c>
      <c r="F77" s="96" t="str">
        <f>IFERROR(IF(VLOOKUP("MP074_2",Operacional!J:M,2,)=D77,VLOOKUP("MP074_2",Operacional!J:M,4,),"-"),"-")</f>
        <v>-</v>
      </c>
      <c r="G77" s="96" t="str">
        <f>IFERROR(IF(VLOOKUP("MP074_3",Operacional!J:M,2,)=D77,VLOOKUP("MP074_3",Operacional!J:M,4,),"-"),"-")</f>
        <v>-</v>
      </c>
      <c r="H77" s="96" t="str">
        <f>IFERROR(IF(VLOOKUP("MP074_4",Operacional!J:M,2,)=D77,VLOOKUP("MP074_4",Operacional!J:M,4,),"-"),"-")</f>
        <v>-</v>
      </c>
      <c r="I77" s="97" t="str">
        <f>IFERROR(IF(VLOOKUP("MP074_5",Operacional!J:M,2,)=D77,VLOOKUP("MP074_5",Operacional!J:M,4,),"-"),"-")</f>
        <v>-</v>
      </c>
    </row>
    <row r="78" spans="1:9" ht="60" x14ac:dyDescent="0.25">
      <c r="A78" s="113"/>
      <c r="B78" s="105" t="s">
        <v>757</v>
      </c>
      <c r="C78" s="102" t="s">
        <v>444</v>
      </c>
      <c r="D78" s="96" t="str">
        <f>VLOOKUP(C78,Operacional!A:I,9,)</f>
        <v>Nível 1</v>
      </c>
      <c r="E78" s="96" t="str">
        <f>IFERROR(IF(VLOOKUP("MP075_1",Operacional!J:M,2,)=D78,VLOOKUP("MP075_1",Operacional!J:M,4,),"-"),"-")</f>
        <v>Estabelecer procedimento de calibração periódica dos macromedidores dos sistemas de abastecimento de água e esgotamento sanitário.</v>
      </c>
      <c r="F78" s="96" t="str">
        <f>IFERROR(IF(VLOOKUP("MP075_2",Operacional!J:M,2,)=D78,VLOOKUP("MP075_2",Operacional!J:M,4,),"-"),"-")</f>
        <v>-</v>
      </c>
      <c r="G78" s="96" t="str">
        <f>IFERROR(IF(VLOOKUP("MP075_3",Operacional!J:M,2,)=D78,VLOOKUP("MP075_3",Operacional!J:M,4,),"-"),"-")</f>
        <v>-</v>
      </c>
      <c r="H78" s="96" t="str">
        <f>IFERROR(IF(VLOOKUP("MP075_4",Operacional!J:M,2,)=D78,VLOOKUP("MP075_4",Operacional!J:M,4,),"-"),"-")</f>
        <v>-</v>
      </c>
      <c r="I78" s="97" t="str">
        <f>IFERROR(IF(VLOOKUP("MP075_5",Operacional!J:M,2,)=D78,VLOOKUP("MP075_5",Operacional!J:M,4,),"-"),"-")</f>
        <v>-</v>
      </c>
    </row>
    <row r="79" spans="1:9" ht="60" x14ac:dyDescent="0.25">
      <c r="A79" s="113"/>
      <c r="B79" s="105" t="s">
        <v>757</v>
      </c>
      <c r="C79" s="102" t="s">
        <v>441</v>
      </c>
      <c r="D79" s="96" t="str">
        <f>VLOOKUP(C79,Operacional!A:I,9,)</f>
        <v>Nível 1</v>
      </c>
      <c r="E79" s="96" t="str">
        <f>IFERROR(IF(VLOOKUP("MP076_1",Operacional!J:M,2,)=D79,VLOOKUP("MP076_1",Operacional!J:M,4,),"-"),"-")</f>
        <v>Realizar mapeamento das saídas das ETAs que não possuem macromedidores.</v>
      </c>
      <c r="F79" s="96" t="str">
        <f>IFERROR(IF(VLOOKUP("MP076_2",Operacional!J:M,2,)=D79,VLOOKUP("MP076_2",Operacional!J:M,4,),"-"),"-")</f>
        <v>Dimensionar e instalar os macromedidores nas saídas das ETAs que produzem os volumes de água mais representativos.</v>
      </c>
      <c r="G79" s="96" t="str">
        <f>IFERROR(IF(VLOOKUP("MP076_3",Operacional!J:M,2,)=D79,VLOOKUP("MP076_3",Operacional!J:M,4,),"-"),"-")</f>
        <v>-</v>
      </c>
      <c r="H79" s="96" t="str">
        <f>IFERROR(IF(VLOOKUP("MP076_4",Operacional!J:M,2,)=D79,VLOOKUP("MP076_4",Operacional!J:M,4,),"-"),"-")</f>
        <v>-</v>
      </c>
      <c r="I79" s="97" t="str">
        <f>IFERROR(IF(VLOOKUP("MP076_5",Operacional!J:M,2,)=D79,VLOOKUP("MP076_5",Operacional!J:M,4,),"-"),"-")</f>
        <v>-</v>
      </c>
    </row>
    <row r="80" spans="1:9" ht="60" x14ac:dyDescent="0.25">
      <c r="A80" s="113"/>
      <c r="B80" s="105" t="s">
        <v>757</v>
      </c>
      <c r="C80" s="102" t="s">
        <v>438</v>
      </c>
      <c r="D80" s="96" t="str">
        <f>VLOOKUP(C80,Operacional!A:I,9,)</f>
        <v>Nível 1</v>
      </c>
      <c r="E80" s="96" t="str">
        <f>IFERROR(IF(VLOOKUP("MP077_1",Operacional!J:M,2,)=D80,VLOOKUP("MP077_1",Operacional!J:M,4,),"-"),"-")</f>
        <v>Realizar mapeamento dos pontos de entrada de água tratada importada que não possuem macromedidores.</v>
      </c>
      <c r="F80" s="96" t="str">
        <f>IFERROR(IF(VLOOKUP("MP077_2",Operacional!J:M,2,)=D80,VLOOKUP("MP077_2",Operacional!J:M,4,),"-"),"-")</f>
        <v>Dimensionar e instalar os macromedidores nos pontos de entrada de água tratada que importam os volumes de água mais representativos.</v>
      </c>
      <c r="G80" s="96" t="str">
        <f>IFERROR(IF(VLOOKUP("MP077_3",Operacional!J:M,2,)=D80,VLOOKUP("MP077_3",Operacional!J:M,4,),"-"),"-")</f>
        <v>-</v>
      </c>
      <c r="H80" s="96" t="str">
        <f>IFERROR(IF(VLOOKUP("MP077_4",Operacional!J:M,2,)=D80,VLOOKUP("MP077_4",Operacional!J:M,4,),"-"),"-")</f>
        <v>-</v>
      </c>
      <c r="I80" s="97" t="str">
        <f>IFERROR(IF(VLOOKUP("MP077_5",Operacional!J:M,2,)=D80,VLOOKUP("MP077_5",Operacional!J:M,4,),"-"),"-")</f>
        <v>-</v>
      </c>
    </row>
    <row r="81" spans="1:9" ht="60" x14ac:dyDescent="0.25">
      <c r="A81" s="113"/>
      <c r="B81" s="105" t="s">
        <v>757</v>
      </c>
      <c r="C81" s="102" t="s">
        <v>435</v>
      </c>
      <c r="D81" s="96" t="str">
        <f>VLOOKUP(C81,Operacional!A:I,9,)</f>
        <v>Nível 1</v>
      </c>
      <c r="E81" s="96" t="str">
        <f>IFERROR(IF(VLOOKUP("MP078_1",Operacional!J:M,2,)=D81,VLOOKUP("MP078_1",Operacional!J:M,4,),"-"),"-")</f>
        <v>Realizar mapeamento dos pontos de saída de água tratada exportada que não possuem macromedidores.</v>
      </c>
      <c r="F81" s="96" t="str">
        <f>IFERROR(IF(VLOOKUP("MP078_2",Operacional!J:M,2,)=D81,VLOOKUP("MP078_2",Operacional!J:M,4,),"-"),"-")</f>
        <v>Dimensionar e instalar os macromedidores nos pontos de saída de água que exportam os volumes de água mais representativos.</v>
      </c>
      <c r="G81" s="96" t="str">
        <f>IFERROR(IF(VLOOKUP("MP078_3",Operacional!J:M,2,)=D81,VLOOKUP("MP078_3",Operacional!J:M,4,),"-"),"-")</f>
        <v>-</v>
      </c>
      <c r="H81" s="96" t="str">
        <f>IFERROR(IF(VLOOKUP("MP078_4",Operacional!J:M,2,)=D81,VLOOKUP("MP078_4",Operacional!J:M,4,),"-"),"-")</f>
        <v>-</v>
      </c>
      <c r="I81" s="97" t="str">
        <f>IFERROR(IF(VLOOKUP("MP078_5",Operacional!J:M,2,)=D81,VLOOKUP("MP078_5",Operacional!J:M,4,),"-"),"-")</f>
        <v>-</v>
      </c>
    </row>
    <row r="82" spans="1:9" ht="60" x14ac:dyDescent="0.25">
      <c r="A82" s="113"/>
      <c r="B82" s="105" t="s">
        <v>757</v>
      </c>
      <c r="C82" s="102" t="s">
        <v>432</v>
      </c>
      <c r="D82" s="96" t="str">
        <f>VLOOKUP(C82,Operacional!A:I,9,)</f>
        <v>Nível 1</v>
      </c>
      <c r="E82" s="96" t="str">
        <f>IFERROR(IF(VLOOKUP("MP079_1",Operacional!J:M,2,)=D82,VLOOKUP("MP079_1",Operacional!J:M,4,),"-"),"-")</f>
        <v>Realizar mapeamento das entradas das ETEs que não possuem macromedidores.</v>
      </c>
      <c r="F82" s="96" t="str">
        <f>IFERROR(IF(VLOOKUP("MP079_2",Operacional!J:M,2,)=D82,VLOOKUP("MP079_2",Operacional!J:M,4,),"-"),"-")</f>
        <v>Dimensionar e instalar os macromedidores nas entradas das ETEs que tratam os volumes de esgoto mais representativos.</v>
      </c>
      <c r="G82" s="96" t="str">
        <f>IFERROR(IF(VLOOKUP("MP079_3",Operacional!J:M,2,)=D82,VLOOKUP("MP079_3",Operacional!J:M,4,),"-"),"-")</f>
        <v>-</v>
      </c>
      <c r="H82" s="96" t="str">
        <f>IFERROR(IF(VLOOKUP("MP079_4",Operacional!J:M,2,)=D82,VLOOKUP("MP079_4",Operacional!J:M,4,),"-"),"-")</f>
        <v>-</v>
      </c>
      <c r="I82" s="97" t="str">
        <f>IFERROR(IF(VLOOKUP("MP079_5",Operacional!J:M,2,)=D82,VLOOKUP("MP079_5",Operacional!J:M,4,),"-"),"-")</f>
        <v>-</v>
      </c>
    </row>
    <row r="83" spans="1:9" ht="60" x14ac:dyDescent="0.25">
      <c r="A83" s="113"/>
      <c r="B83" s="105" t="s">
        <v>757</v>
      </c>
      <c r="C83" s="102" t="s">
        <v>429</v>
      </c>
      <c r="D83" s="96" t="str">
        <f>VLOOKUP(C83,Operacional!A:I,9,)</f>
        <v>Nível 1</v>
      </c>
      <c r="E83" s="96" t="str">
        <f>IFERROR(IF(VLOOKUP("MP080_1",Operacional!J:M,2,)=D83,VLOOKUP("MP080_1",Operacional!J:M,4,),"-"),"-")</f>
        <v>Realizar mapeamento dos pontos de entrada de esgoto importado que não possuem macromedidores.</v>
      </c>
      <c r="F83" s="96" t="str">
        <f>IFERROR(IF(VLOOKUP("MP080_2",Operacional!J:M,2,)=D83,VLOOKUP("MP080_2",Operacional!J:M,4,),"-"),"-")</f>
        <v>Dimensionar e instalar os macromedidores nos pontos de entrada que importam os volumes de esgoto mais representativos.</v>
      </c>
      <c r="G83" s="96" t="str">
        <f>IFERROR(IF(VLOOKUP("MP080_3",Operacional!J:M,2,)=D83,VLOOKUP("MP080_3",Operacional!J:M,4,),"-"),"-")</f>
        <v>-</v>
      </c>
      <c r="H83" s="96" t="str">
        <f>IFERROR(IF(VLOOKUP("MP080_4",Operacional!J:M,2,)=D83,VLOOKUP("MP080_4",Operacional!J:M,4,),"-"),"-")</f>
        <v>-</v>
      </c>
      <c r="I83" s="97" t="str">
        <f>IFERROR(IF(VLOOKUP("MP080_5",Operacional!J:M,2,)=D83,VLOOKUP("MP080_5",Operacional!J:M,4,),"-"),"-")</f>
        <v>-</v>
      </c>
    </row>
    <row r="84" spans="1:9" ht="60" x14ac:dyDescent="0.25">
      <c r="A84" s="113"/>
      <c r="B84" s="105" t="s">
        <v>757</v>
      </c>
      <c r="C84" s="102" t="s">
        <v>426</v>
      </c>
      <c r="D84" s="96" t="str">
        <f>VLOOKUP(C84,Operacional!A:I,9,)</f>
        <v>Nível 1</v>
      </c>
      <c r="E84" s="96" t="str">
        <f>IFERROR(IF(VLOOKUP("MP081_1",Operacional!J:M,2,)=D84,VLOOKUP("MP081_1",Operacional!J:M,4,),"-"),"-")</f>
        <v>Realizar mapeamento dos pontos de saída de esgoto exportado que não possuem macromedidores.</v>
      </c>
      <c r="F84" s="96" t="str">
        <f>IFERROR(IF(VLOOKUP("MP081_2",Operacional!J:M,2,)=D84,VLOOKUP("MP081_2",Operacional!J:M,4,),"-"),"-")</f>
        <v>Dimensionar e instalar os macromedidores nos pontos de saída que exportam os volumes de esgoto mais representativos.</v>
      </c>
      <c r="G84" s="96" t="str">
        <f>IFERROR(IF(VLOOKUP("MP081_3",Operacional!J:M,2,)=D84,VLOOKUP("MP081_3",Operacional!J:M,4,),"-"),"-")</f>
        <v>-</v>
      </c>
      <c r="H84" s="96" t="str">
        <f>IFERROR(IF(VLOOKUP("MP081_4",Operacional!J:M,2,)=D84,VLOOKUP("MP081_4",Operacional!J:M,4,),"-"),"-")</f>
        <v>-</v>
      </c>
      <c r="I84" s="97" t="str">
        <f>IFERROR(IF(VLOOKUP("MP081_5",Operacional!J:M,2,)=D84,VLOOKUP("MP081_5",Operacional!J:M,4,),"-"),"-")</f>
        <v>-</v>
      </c>
    </row>
    <row r="85" spans="1:9" ht="105" x14ac:dyDescent="0.25">
      <c r="A85" s="113"/>
      <c r="B85" s="105" t="s">
        <v>757</v>
      </c>
      <c r="C85" s="102" t="s">
        <v>421</v>
      </c>
      <c r="D85" s="96" t="str">
        <f>VLOOKUP(C85,Operacional!A:I,9,)</f>
        <v>Nível 1</v>
      </c>
      <c r="E85" s="96" t="str">
        <f>IFERROR(IF(VLOOKUP("MP082_1",Operacional!J:M,2,)=D85,VLOOKUP("MP082_1",Operacional!J:M,4,),"-"),"-")</f>
        <v>Desenvolver/adquirir sistemas que possibilitem o registro manual dos volumes macromedidos/estimados de água e esgoto.</v>
      </c>
      <c r="F85" s="96" t="str">
        <f>IFERROR(IF(VLOOKUP("MP082_2",Operacional!J:M,2,)=D85,VLOOKUP("MP082_2",Operacional!J:M,4,),"-"),"-")</f>
        <v>Adquirir equipamentos e desenvolver/adquirir sistemas que permitam a integração automática com os macromedidores para o preenchimento automático das informações de volumes de água nos municípios mais relevantes.</v>
      </c>
      <c r="G85" s="96" t="str">
        <f>IFERROR(IF(VLOOKUP("MP082_3",Operacional!J:M,2,)=D85,VLOOKUP("MP082_3",Operacional!J:M,4,),"-"),"-")</f>
        <v>-</v>
      </c>
      <c r="H85" s="96" t="str">
        <f>IFERROR(IF(VLOOKUP("MP082_4",Operacional!J:M,2,)=D85,VLOOKUP("MP082_4",Operacional!J:M,4,),"-"),"-")</f>
        <v>-</v>
      </c>
      <c r="I85" s="97" t="str">
        <f>IFERROR(IF(VLOOKUP("MP082_5",Operacional!J:M,2,)=D85,VLOOKUP("MP082_5",Operacional!J:M,4,),"-"),"-")</f>
        <v>-</v>
      </c>
    </row>
    <row r="86" spans="1:9" ht="60" x14ac:dyDescent="0.25">
      <c r="A86" s="113"/>
      <c r="B86" s="105" t="s">
        <v>757</v>
      </c>
      <c r="C86" s="102" t="s">
        <v>419</v>
      </c>
      <c r="D86" s="121" t="str">
        <f>VLOOKUP(C86,Operacional!A:I,9,)</f>
        <v>Nível 2</v>
      </c>
      <c r="E86" s="96" t="str">
        <f>IFERROR(IF(VLOOKUP("MP083_1",Operacional!J:M,2,)=D86,VLOOKUP("MP083_1",Operacional!J:M,4,),"-"),"-")</f>
        <v>-</v>
      </c>
      <c r="F86" s="96" t="str">
        <f>IFERROR(IF(VLOOKUP("MP083_2",Operacional!J:M,2,)=D86,VLOOKUP("MP083_2",Operacional!J:M,4,),"-"),"-")</f>
        <v>Realizar o acompanhamento em sistema ou planilha eletrônica dos volumes consumidos em todos os tipos de atividades especiais.</v>
      </c>
      <c r="G86" s="96" t="str">
        <f>IFERROR(IF(VLOOKUP("MP083_3",Operacional!J:M,2,)=D86,VLOOKUP("MP083_3",Operacional!J:M,4,),"-"),"-")</f>
        <v>-</v>
      </c>
      <c r="H86" s="96" t="str">
        <f>IFERROR(IF(VLOOKUP("MP083_4",Operacional!J:M,2,)=D86,VLOOKUP("MP083_4",Operacional!J:M,4,),"-"),"-")</f>
        <v>-</v>
      </c>
      <c r="I86" s="97" t="str">
        <f>IFERROR(IF(VLOOKUP("MP083_5",Operacional!J:M,2,)=D86,VLOOKUP("MP083_5",Operacional!J:M,4,),"-"),"-")</f>
        <v>-</v>
      </c>
    </row>
    <row r="87" spans="1:9" ht="75" x14ac:dyDescent="0.25">
      <c r="A87" s="113"/>
      <c r="B87" s="105" t="s">
        <v>757</v>
      </c>
      <c r="C87" s="102" t="s">
        <v>412</v>
      </c>
      <c r="D87" s="121" t="str">
        <f>VLOOKUP(C87,Operacional!A:I,9,)</f>
        <v>Nível 1</v>
      </c>
      <c r="E87" s="96" t="str">
        <f>IFERROR(IF(VLOOKUP("MP084_1",Operacional!J:M,2,)=D87,VLOOKUP("MP084_1",Operacional!J:M,4,),"-"),"-")</f>
        <v>Realizar o acompanhamento em sistema ou planilha eletrônica dos volumes consumidos nos tipos de atividades operacionais considerados mais relevantes para o prestador.</v>
      </c>
      <c r="F87" s="96" t="str">
        <f>IFERROR(IF(VLOOKUP("MP084_2",Operacional!J:M,2,)=D87,VLOOKUP("MP084_2",Operacional!J:M,4,),"-"),"-")</f>
        <v>-</v>
      </c>
      <c r="G87" s="96" t="str">
        <f>IFERROR(IF(VLOOKUP("MP084_3",Operacional!J:M,2,)=D87,VLOOKUP("MP084_3",Operacional!J:M,4,),"-"),"-")</f>
        <v>-</v>
      </c>
      <c r="H87" s="96" t="str">
        <f>IFERROR(IF(VLOOKUP("MP084_4",Operacional!J:M,2,)=D87,VLOOKUP("MP084_4",Operacional!J:M,4,),"-"),"-")</f>
        <v>-</v>
      </c>
      <c r="I87" s="97" t="str">
        <f>IFERROR(IF(VLOOKUP("MP084_5",Operacional!J:M,2,)=D87,VLOOKUP("MP084_5",Operacional!J:M,4,),"-"),"-")</f>
        <v>-</v>
      </c>
    </row>
    <row r="88" spans="1:9" ht="90" x14ac:dyDescent="0.25">
      <c r="A88" s="113"/>
      <c r="B88" s="105" t="s">
        <v>757</v>
      </c>
      <c r="C88" s="102" t="s">
        <v>406</v>
      </c>
      <c r="D88" s="96" t="str">
        <f>VLOOKUP(C88,Operacional!A:I,9,)</f>
        <v>Nível 1</v>
      </c>
      <c r="E88" s="96" t="str">
        <f>IFERROR(IF(VLOOKUP("MP085_1",Operacional!J:M,2,)=D88,VLOOKUP("MP085_1",Operacional!J:M,4,),"-"),"-")</f>
        <v>Desenvolver e formalizar documento indicando o procedimento para estimativa de volume de água recuperado em decorrência de fraudes, com base nas caracterísiticas das ligações eliminadas.</v>
      </c>
      <c r="F88" s="96" t="str">
        <f>IFERROR(IF(VLOOKUP("MP085_2",Operacional!J:M,2,)=D88,VLOOKUP("MP085_2",Operacional!J:M,4,),"-"),"-")</f>
        <v>-</v>
      </c>
      <c r="G88" s="96" t="str">
        <f>IFERROR(IF(VLOOKUP("MP085_3",Operacional!J:M,2,)=D88,VLOOKUP("MP085_3",Operacional!J:M,4,),"-"),"-")</f>
        <v>-</v>
      </c>
      <c r="H88" s="96" t="str">
        <f>IFERROR(IF(VLOOKUP("MP085_4",Operacional!J:M,2,)=D88,VLOOKUP("MP085_4",Operacional!J:M,4,),"-"),"-")</f>
        <v>-</v>
      </c>
      <c r="I88" s="97" t="str">
        <f>IFERROR(IF(VLOOKUP("MP085_5",Operacional!J:M,2,)=D88,VLOOKUP("MP085_5",Operacional!J:M,4,),"-"),"-")</f>
        <v>-</v>
      </c>
    </row>
    <row r="89" spans="1:9" ht="135" x14ac:dyDescent="0.25">
      <c r="A89" s="113"/>
      <c r="B89" s="105" t="s">
        <v>758</v>
      </c>
      <c r="C89" s="102" t="s">
        <v>478</v>
      </c>
      <c r="D89" s="96" t="str">
        <f>VLOOKUP(C89,Consumo_Energetico!A:I,9,)</f>
        <v>Nível 1</v>
      </c>
      <c r="E89" s="96" t="str">
        <f>IFERROR(IF(VLOOKUP("MP086_1",Consumo_Energetico!J:M,2,)=D89,VLOOKUP("MP086_1",Consumo_Energetico!J:M,4,),"-"),"-")</f>
        <v>Dentre as atividades destacadas para o processo de monitoramento do consumo energético, devem ser selecionadas as que possuem maior impacto nos resultados da organização. Depois da priorização, os normativos devem ser elaborados e formalmente divulgadas nos meios institucionais de comunicação (Ex: intranet).</v>
      </c>
      <c r="F89" s="96" t="str">
        <f>IFERROR(IF(VLOOKUP("MP086_2",Consumo_Energetico!J:M,2,)=D89,VLOOKUP("MP086_2",Consumo_Energetico!J:M,4,),"-"),"-")</f>
        <v>Realizar o levantamento das atividades do processo de monitoramento do consumo energético que não possuem políticas, normas e/ou procedimentos e promover a elaboração e divulgação dos normativos nos meios institucionais de comunicação (Ex: intranet).</v>
      </c>
      <c r="G89" s="96" t="str">
        <f>IFERROR(IF(VLOOKUP("MP086_3",Consumo_Energetico!J:M,2,)=D89,VLOOKUP("MP086_3",Consumo_Energetico!J:M,4,),"-"),"-")</f>
        <v>-</v>
      </c>
      <c r="H89" s="96" t="str">
        <f>IFERROR(IF(VLOOKUP("MP086_4",Consumo_Energetico!J:M,2,)=D89,VLOOKUP("MP086_4",Consumo_Energetico!J:M,4,),"-"),"-")</f>
        <v>-</v>
      </c>
      <c r="I89" s="97" t="str">
        <f>IFERROR(IF(VLOOKUP("MP086_5",Consumo_Energetico!J:M,2,)=D89,VLOOKUP("MP086_5",Consumo_Energetico!J:M,4,),"-"),"-")</f>
        <v>-</v>
      </c>
    </row>
    <row r="90" spans="1:9" ht="135" customHeight="1" x14ac:dyDescent="0.25">
      <c r="A90" s="113"/>
      <c r="B90" s="105" t="s">
        <v>758</v>
      </c>
      <c r="C90" s="102" t="s">
        <v>476</v>
      </c>
      <c r="D90" s="96" t="str">
        <f>VLOOKUP(C90,Consumo_Energetico!A:I,9,)</f>
        <v>Nível 1</v>
      </c>
      <c r="E90" s="96" t="str">
        <f>IFERROR(IF(VLOOKUP("MP087_1",Consumo_Energetico!J:M,2,)=D90,VLOOKUP("MP087_1",Consumo_Energetico!J:M,4,),"-"),"-")</f>
        <v>Desenvolver planilhas eletrônicas para realizar o registro mensal das faturas de energia elétrica e monitorar o consumo dos sistemas de água e esgoto.</v>
      </c>
      <c r="F90" s="96" t="str">
        <f>IFERROR(IF(VLOOKUP("MP087_2",Consumo_Energetico!J:M,2,)=D90,VLOOKUP("MP087_2",Consumo_Energetico!J:M,4,),"-"),"-")</f>
        <v>-</v>
      </c>
      <c r="G90" s="96" t="str">
        <f>IFERROR(IF(VLOOKUP("MP087_3",Consumo_Energetico!J:M,2,)=D90,VLOOKUP("MP087_3",Consumo_Energetico!J:M,4,),"-"),"-")</f>
        <v>-</v>
      </c>
      <c r="H90" s="96" t="str">
        <f>IFERROR(IF(VLOOKUP("MP087_4",Consumo_Energetico!J:M,2,)=D90,VLOOKUP("MP087_4",Consumo_Energetico!J:M,4,),"-"),"-")</f>
        <v>-</v>
      </c>
      <c r="I90" s="97" t="str">
        <f>IFERROR(IF(VLOOKUP("MP087_5",Consumo_Energetico!J:M,2,)=D90,VLOOKUP("MP087_5",Consumo_Energetico!J:M,4,),"-"),"-")</f>
        <v>-</v>
      </c>
    </row>
    <row r="91" spans="1:9" ht="135" customHeight="1" x14ac:dyDescent="0.25">
      <c r="A91" s="113"/>
      <c r="B91" s="105" t="s">
        <v>758</v>
      </c>
      <c r="C91" s="102" t="s">
        <v>473</v>
      </c>
      <c r="D91" s="96" t="str">
        <f>VLOOKUP(C91,Consumo_Energetico!A:I,9,)</f>
        <v>Nível 1</v>
      </c>
      <c r="E91" s="96" t="str">
        <f>IFERROR(IF(VLOOKUP("MP088_1",Consumo_Energetico!J:M,2,)=D91,VLOOKUP("MP088_1",Consumo_Energetico!J:M,4,),"-"),"-")</f>
        <v>Solicitar a concessionária de energia elétrica o envio mensal de arquivo eletrônico contendo as informações contidas nas faturas de energia elétrica.</v>
      </c>
      <c r="F91" s="96" t="str">
        <f>IFERROR(IF(VLOOKUP("MP088_2",Consumo_Energetico!J:M,2,)=D91,VLOOKUP("MP088_2",Consumo_Energetico!J:M,4,),"-"),"-")</f>
        <v>Efetuar parametrizações no sistema de gestão energética, de forma a possibilitar o registro automático das informações contidas nas faturas, a partir da compatibilização com o layout do arquivo eletrônico enviado pela concessionária de energia elétrica.</v>
      </c>
      <c r="G91" s="96" t="str">
        <f>IFERROR(IF(VLOOKUP("MP088_3",Consumo_Energetico!J:M,2,)=D91,VLOOKUP("MP088_3",Consumo_Energetico!J:M,4,),"-"),"-")</f>
        <v>-</v>
      </c>
      <c r="H91" s="96" t="str">
        <f>IFERROR(IF(VLOOKUP("MP088_4",Consumo_Energetico!J:M,2,)=D91,VLOOKUP("MP088_4",Consumo_Energetico!J:M,4,),"-"),"-")</f>
        <v>-</v>
      </c>
      <c r="I91" s="97" t="str">
        <f>IFERROR(IF(VLOOKUP("MP088_5",Consumo_Energetico!J:M,2,)=D91,VLOOKUP("MP088_5",Consumo_Energetico!J:M,4,),"-"),"-")</f>
        <v>-</v>
      </c>
    </row>
    <row r="92" spans="1:9" ht="135" customHeight="1" x14ac:dyDescent="0.25">
      <c r="A92" s="113"/>
      <c r="B92" s="105" t="s">
        <v>758</v>
      </c>
      <c r="C92" s="102" t="s">
        <v>471</v>
      </c>
      <c r="D92" s="96" t="str">
        <f>VLOOKUP(C92,Consumo_Energetico!A:I,9,)</f>
        <v>Nível 1</v>
      </c>
      <c r="E92" s="96" t="str">
        <f>IFERROR(IF(VLOOKUP("MP089_1",Consumo_Energetico!J:M,2,)=D92,VLOOKUP("MP089_1",Consumo_Energetico!J:M,4,),"-"),"-")</f>
        <v>Realizar o registro das unidades consumidoras no sistema de gestão energética ou em planilhas eletrônicas.</v>
      </c>
      <c r="F92" s="96" t="str">
        <f>IFERROR(IF(VLOOKUP("MP089_2",Consumo_Energetico!J:M,2,)=D92,VLOOKUP("MP089_2",Consumo_Energetico!J:M,4,),"-"),"-")</f>
        <v>-</v>
      </c>
      <c r="G92" s="96" t="str">
        <f>IFERROR(IF(VLOOKUP("MP089_3",Consumo_Energetico!J:M,2,)=D92,VLOOKUP("MP089_3",Consumo_Energetico!J:M,4,),"-"),"-")</f>
        <v>-</v>
      </c>
      <c r="H92" s="96" t="str">
        <f>IFERROR(IF(VLOOKUP("MP089_4",Consumo_Energetico!J:M,2,)=D92,VLOOKUP("MP089_4",Consumo_Energetico!J:M,4,),"-"),"-")</f>
        <v>-</v>
      </c>
      <c r="I92" s="97" t="str">
        <f>IFERROR(IF(VLOOKUP("MP089_5",Consumo_Energetico!J:M,2,)=D92,VLOOKUP("MP089_5",Consumo_Energetico!J:M,4,),"-"),"-")</f>
        <v>-</v>
      </c>
    </row>
    <row r="93" spans="1:9" ht="135" customHeight="1" x14ac:dyDescent="0.25">
      <c r="A93" s="113"/>
      <c r="B93" s="105" t="s">
        <v>758</v>
      </c>
      <c r="C93" s="102" t="s">
        <v>469</v>
      </c>
      <c r="D93" s="96" t="str">
        <f>VLOOKUP(C93,Consumo_Energetico!A:I,9,)</f>
        <v>Nível 1</v>
      </c>
      <c r="E93" s="96" t="str">
        <f>IFERROR(IF(VLOOKUP("MP090_1",Consumo_Energetico!J:M,2,)=D93,VLOOKUP("MP090_1",Consumo_Energetico!J:M,4,),"-"),"-")</f>
        <v>Estabelecer procedimento de revisão periódica das faturas de energia elétrica, contemplando o apontamento de distorções em relação ao histórico de consumo e valores de consumo não usuais ou fora da faixa esperada.</v>
      </c>
      <c r="F93" s="96" t="str">
        <f>IFERROR(IF(VLOOKUP("MP090_2",Consumo_Energetico!J:M,2,)=D93,VLOOKUP("MP090_2",Consumo_Energetico!J:M,4,),"-"),"-")</f>
        <v>-</v>
      </c>
      <c r="G93" s="96" t="str">
        <f>IFERROR(IF(VLOOKUP("MP090_3",Consumo_Energetico!J:M,2,)=D93,VLOOKUP("MP090_3",Consumo_Energetico!J:M,4,),"-"),"-")</f>
        <v>-</v>
      </c>
      <c r="H93" s="96" t="str">
        <f>IFERROR(IF(VLOOKUP("MP090_4",Consumo_Energetico!J:M,2,)=D93,VLOOKUP("MP090_4",Consumo_Energetico!J:M,4,),"-"),"-")</f>
        <v>-</v>
      </c>
      <c r="I93" s="97" t="str">
        <f>IFERROR(IF(VLOOKUP("MP090_5",Consumo_Energetico!J:M,2,)=D93,VLOOKUP("MP090_5",Consumo_Energetico!J:M,4,),"-"),"-")</f>
        <v>-</v>
      </c>
    </row>
    <row r="94" spans="1:9" ht="135" x14ac:dyDescent="0.25">
      <c r="A94" s="113"/>
      <c r="B94" s="105" t="s">
        <v>759</v>
      </c>
      <c r="C94" s="102" t="s">
        <v>401</v>
      </c>
      <c r="D94" s="96" t="str">
        <f>VLOOKUP(C94,Rede_Esgoto!A:I,9,)</f>
        <v>Nível 1</v>
      </c>
      <c r="E94" s="96" t="str">
        <f>IFERROR(IF(VLOOKUP("MP091_1",Rede_Esgoto!J:M,2,)=D94,VLOOKUP("MP091_1",Rede_Esgoto!J:M,4,),"-"),"-")</f>
        <v>Dentre as atividades destacadas para o processo de manutenção da rede de esgoto, devem ser selecionadas as que possuem maior impacto nos resultados da organização. Depois da priorização, os normativos devem ser elaborados e formalmente divulgadas nos meios institucionais de comunicação (Ex: intranet).</v>
      </c>
      <c r="F94" s="96" t="str">
        <f>IFERROR(IF(VLOOKUP("MP091_2",Rede_Esgoto!J:M,2,)=D94,VLOOKUP("MP091_2",Rede_Esgoto!J:M,4,),"-"),"-")</f>
        <v>Realizar o levantamento das atividades do processo de manutenção da rede de esgoto que não possuem políticas, normas e/ou procedimentos e promover a elaboração e divulgação dos normativos nos meios institucionais de comunicação (Ex: intranet).</v>
      </c>
      <c r="G94" s="96" t="str">
        <f>IFERROR(IF(VLOOKUP("MP091_3",Rede_Esgoto!J:M,2,)=D94,VLOOKUP("MP091_3",Rede_Esgoto!J:M,4,),"-"),"-")</f>
        <v>-</v>
      </c>
      <c r="H94" s="96" t="str">
        <f>IFERROR(IF(VLOOKUP("MP091_4",Rede_Esgoto!J:M,2,)=D94,VLOOKUP("MP091_4",Rede_Esgoto!J:M,4,),"-"),"-")</f>
        <v>-</v>
      </c>
      <c r="I94" s="97" t="str">
        <f>IFERROR(IF(VLOOKUP("MP091_5",Rede_Esgoto!J:M,2,)=D94,VLOOKUP("MP091_5",Rede_Esgoto!J:M,4,),"-"),"-")</f>
        <v>-</v>
      </c>
    </row>
    <row r="95" spans="1:9" ht="135" customHeight="1" x14ac:dyDescent="0.25">
      <c r="A95" s="113"/>
      <c r="B95" s="105" t="s">
        <v>759</v>
      </c>
      <c r="C95" s="102" t="s">
        <v>396</v>
      </c>
      <c r="D95" s="96" t="str">
        <f>VLOOKUP(C95,Rede_Esgoto!A:I,9,)</f>
        <v>Nível 1</v>
      </c>
      <c r="E95" s="96" t="str">
        <f>IFERROR(IF(VLOOKUP("MP092_1",Rede_Esgoto!J:M,2,)=D95,VLOOKUP("MP092_1",Rede_Esgoto!J:M,4,),"-"),"-")</f>
        <v>Avaliar a possibilidade de segregar as atividades destacadas em profissionais ou áreas distintas.</v>
      </c>
      <c r="F95" s="96" t="str">
        <f>IFERROR(IF(VLOOKUP("MP092_2",Rede_Esgoto!J:M,2,)=D95,VLOOKUP("MP092_2",Rede_Esgoto!J:M,4,),"-"),"-")</f>
        <v>-</v>
      </c>
      <c r="G95" s="96" t="str">
        <f>IFERROR(IF(VLOOKUP("MP092_3",Rede_Esgoto!J:M,2,)=D95,VLOOKUP("MP092_3",Rede_Esgoto!J:M,4,),"-"),"-")</f>
        <v>-</v>
      </c>
      <c r="H95" s="96" t="str">
        <f>IFERROR(IF(VLOOKUP("MP092_4",Rede_Esgoto!J:M,2,)=D95,VLOOKUP("MP092_4",Rede_Esgoto!J:M,4,),"-"),"-")</f>
        <v>-</v>
      </c>
      <c r="I95" s="97" t="str">
        <f>IFERROR(IF(VLOOKUP("MP092_5",Rede_Esgoto!J:M,2,)=D95,VLOOKUP("MP092_5",Rede_Esgoto!J:M,4,),"-"),"-")</f>
        <v>-</v>
      </c>
    </row>
    <row r="96" spans="1:9" ht="135" customHeight="1" x14ac:dyDescent="0.25">
      <c r="A96" s="113"/>
      <c r="B96" s="105" t="s">
        <v>759</v>
      </c>
      <c r="C96" s="102" t="s">
        <v>394</v>
      </c>
      <c r="D96" s="96" t="str">
        <f>VLOOKUP(C96,Rede_Esgoto!A:I,9,)</f>
        <v>Nível 1</v>
      </c>
      <c r="E96" s="96" t="str">
        <f>IFERROR(IF(VLOOKUP("MP093_1",Rede_Esgoto!J:M,2,)=D96,VLOOKUP("MP093_1",Rede_Esgoto!J:M,4,),"-"),"-")</f>
        <v>Realizar o acompanhamento dos serviços de manutenção executados por meio de ordens de serviços emitidas e cadastradas no sistema de gestão.</v>
      </c>
      <c r="F96" s="96" t="str">
        <f>IFERROR(IF(VLOOKUP("MP093_2",Rede_Esgoto!J:M,2,)=D96,VLOOKUP("MP093_2",Rede_Esgoto!J:M,4,),"-"),"-")</f>
        <v>-</v>
      </c>
      <c r="G96" s="96" t="str">
        <f>IFERROR(IF(VLOOKUP("MP093_3",Rede_Esgoto!J:M,2,)=D96,VLOOKUP("MP093_3",Rede_Esgoto!J:M,4,),"-"),"-")</f>
        <v>-</v>
      </c>
      <c r="H96" s="96" t="str">
        <f>IFERROR(IF(VLOOKUP("MP093_4",Rede_Esgoto!J:M,2,)=D96,VLOOKUP("MP093_4",Rede_Esgoto!J:M,4,),"-"),"-")</f>
        <v>-</v>
      </c>
      <c r="I96" s="97" t="str">
        <f>IFERROR(IF(VLOOKUP("MP093_5",Rede_Esgoto!J:M,2,)=D96,VLOOKUP("MP093_5",Rede_Esgoto!J:M,4,),"-"),"-")</f>
        <v>-</v>
      </c>
    </row>
    <row r="97" spans="1:9" ht="135" customHeight="1" x14ac:dyDescent="0.25">
      <c r="A97" s="113"/>
      <c r="B97" s="105" t="s">
        <v>759</v>
      </c>
      <c r="C97" s="102" t="s">
        <v>393</v>
      </c>
      <c r="D97" s="96" t="str">
        <f>VLOOKUP(C97,Rede_Esgoto!A:I,9,)</f>
        <v>Nível 1</v>
      </c>
      <c r="E97" s="96" t="str">
        <f>IFERROR(IF(VLOOKUP("MP094_1",Rede_Esgoto!J:M,2,)=D97,VLOOKUP("MP094_1",Rede_Esgoto!J:M,4,),"-"),"-")</f>
        <v>Efetuar parametrizações no sistema de gestão para abertura automática da ordem de serviço de reparo da rede de esgoto a partir do recebimento da reclamação / solicitação do serviço.</v>
      </c>
      <c r="F97" s="96" t="str">
        <f>IFERROR(IF(VLOOKUP("MP094_2",Rede_Esgoto!J:M,2,)=D97,VLOOKUP("MP094_2",Rede_Esgoto!J:M,4,),"-"),"-")</f>
        <v>-</v>
      </c>
      <c r="G97" s="96" t="str">
        <f>IFERROR(IF(VLOOKUP("MP094_3",Rede_Esgoto!J:M,2,)=D97,VLOOKUP("MP094_3",Rede_Esgoto!J:M,4,),"-"),"-")</f>
        <v>-</v>
      </c>
      <c r="H97" s="96" t="str">
        <f>IFERROR(IF(VLOOKUP("MP094_4",Rede_Esgoto!J:M,2,)=D97,VLOOKUP("MP094_4",Rede_Esgoto!J:M,4,),"-"),"-")</f>
        <v>-</v>
      </c>
      <c r="I97" s="97" t="str">
        <f>IFERROR(IF(VLOOKUP("MP094_5",Rede_Esgoto!J:M,2,)=D97,VLOOKUP("MP094_5",Rede_Esgoto!J:M,4,),"-"),"-")</f>
        <v>-</v>
      </c>
    </row>
    <row r="98" spans="1:9" ht="135" customHeight="1" x14ac:dyDescent="0.25">
      <c r="A98" s="113"/>
      <c r="B98" s="105" t="s">
        <v>759</v>
      </c>
      <c r="C98" s="102" t="s">
        <v>391</v>
      </c>
      <c r="D98" s="96" t="str">
        <f>VLOOKUP(C98,Rede_Esgoto!A:I,9,)</f>
        <v>Nível 1</v>
      </c>
      <c r="E98" s="96" t="str">
        <f>IFERROR(IF(VLOOKUP("MP095_1",Rede_Esgoto!J:M,2,)=D98,VLOOKUP("MP095_1",Rede_Esgoto!J:M,4,),"-"),"-")</f>
        <v>Parametrizar o sistema de gestão para permitir à associação de várias reclamações / solicitações de serviço a uma única ordem de serviço.</v>
      </c>
      <c r="F98" s="96" t="str">
        <f>IFERROR(IF(VLOOKUP("MP095_2",Rede_Esgoto!J:M,2,)=D98,VLOOKUP("MP095_2",Rede_Esgoto!J:M,4,),"-"),"-")</f>
        <v>-</v>
      </c>
      <c r="G98" s="96" t="str">
        <f>IFERROR(IF(VLOOKUP("MP095_3",Rede_Esgoto!J:M,2,)=D98,VLOOKUP("MP095_3",Rede_Esgoto!J:M,4,),"-"),"-")</f>
        <v>-</v>
      </c>
      <c r="H98" s="96" t="str">
        <f>IFERROR(IF(VLOOKUP("MP095_4",Rede_Esgoto!J:M,2,)=D98,VLOOKUP("MP095_4",Rede_Esgoto!J:M,4,),"-"),"-")</f>
        <v>-</v>
      </c>
      <c r="I98" s="97" t="str">
        <f>IFERROR(IF(VLOOKUP("MP095_5",Rede_Esgoto!J:M,2,)=D98,VLOOKUP("MP095_5",Rede_Esgoto!J:M,4,),"-"),"-")</f>
        <v>-</v>
      </c>
    </row>
    <row r="99" spans="1:9" ht="135" x14ac:dyDescent="0.25">
      <c r="A99" s="113"/>
      <c r="B99" s="105" t="s">
        <v>760</v>
      </c>
      <c r="C99" s="102" t="s">
        <v>262</v>
      </c>
      <c r="D99" s="96" t="str">
        <f>VLOOKUP(C99,Qualidade!A:I,9,)</f>
        <v>Nível 1</v>
      </c>
      <c r="E99" s="96" t="str">
        <f>IFERROR(IF(VLOOKUP("MP096_1",Qualidade!J:M,2,)=D99,VLOOKUP("MP096_1",Qualidade!J:M,4,),"-"),"-")</f>
        <v>Dentre as atividades destacadas para o processo de controle da qualidade da água devem ser selecionadas as que possuem maior impacto nos resultados da organização. Depois da priorização, os normativos devem ser elaborados e formalmente divulgadas nos meios institucionais de comunicação (Ex: intranet).</v>
      </c>
      <c r="F99" s="96" t="str">
        <f>IFERROR(IF(VLOOKUP("MP096_2",Qualidade!J:M,2,)=D99,VLOOKUP("MP096_2",Qualidade!J:M,4,),"-"),"-")</f>
        <v>-</v>
      </c>
      <c r="G99" s="96" t="str">
        <f>IFERROR(IF(VLOOKUP("MP096_3",Qualidade!J:M,2,)=D99,VLOOKUP("MP096_3",Qualidade!J:M,4,),"-"),"-")</f>
        <v>-</v>
      </c>
      <c r="H99" s="96" t="str">
        <f>IFERROR(IF(VLOOKUP("MP096_4",Qualidade!J:M,2,)=D99,VLOOKUP("MP096_4",Qualidade!J:M,4,),"-"),"-")</f>
        <v>-</v>
      </c>
      <c r="I99" s="97" t="str">
        <f>IFERROR(IF(VLOOKUP("MP096_5",Qualidade!J:M,2,)=D99,VLOOKUP("MP096_5",Qualidade!J:M,4,),"-"),"-")</f>
        <v>-</v>
      </c>
    </row>
    <row r="100" spans="1:9" ht="135" customHeight="1" x14ac:dyDescent="0.25">
      <c r="A100" s="113"/>
      <c r="B100" s="105" t="s">
        <v>760</v>
      </c>
      <c r="C100" s="102" t="s">
        <v>272</v>
      </c>
      <c r="D100" s="96" t="str">
        <f>VLOOKUP(C100,Qualidade!A:I,9,)</f>
        <v>Nível 1</v>
      </c>
      <c r="E100" s="96" t="str">
        <f>IFERROR(IF(VLOOKUP("MP097_1",Qualidade!J:M,2,)=D100,VLOOKUP("MP097_1",Qualidade!J:M,4,),"-"),"-")</f>
        <v>Realizar o levantamento dos laboratórios que não possuem planos de amostragem definidos.</v>
      </c>
      <c r="F100" s="96" t="str">
        <f>IFERROR(IF(VLOOKUP("MP097_2",Qualidade!J:M,2,)=D100,VLOOKUP("MP097_2",Qualidade!J:M,4,),"-"),"-")</f>
        <v>Elaborar planos de amostragem para os laboratórios que atendem os municípios mais relevantes, definindo os pontos de coleta conforme os critérios estabelecidos pela Portaria Nº 2.914 do Ministério da Saúde.</v>
      </c>
      <c r="G100" s="96" t="str">
        <f>IFERROR(IF(VLOOKUP("MP097_3",Qualidade!J:M,2,)=D100,VLOOKUP("MP097_3",Qualidade!J:M,4,),"-"),"-")</f>
        <v>Certificar os laboratórios que atendem os municípios mais relevantes em relação à norma NBR ISO/IEC 17025.</v>
      </c>
      <c r="H100" s="96" t="str">
        <f>IFERROR(IF(VLOOKUP("MP097_4",Qualidade!J:M,2,)=D100,VLOOKUP("MP097_4",Qualidade!J:M,4,),"-"),"-")</f>
        <v>-</v>
      </c>
      <c r="I100" s="97" t="str">
        <f>IFERROR(IF(VLOOKUP("MP097_5",Qualidade!J:M,2,)=D100,VLOOKUP("MP097_5",Qualidade!J:M,4,),"-"),"-")</f>
        <v>-</v>
      </c>
    </row>
    <row r="101" spans="1:9" ht="90" x14ac:dyDescent="0.25">
      <c r="A101" s="113"/>
      <c r="B101" s="105" t="s">
        <v>760</v>
      </c>
      <c r="C101" s="102" t="s">
        <v>281</v>
      </c>
      <c r="D101" s="96" t="str">
        <f>VLOOKUP(C101,Qualidade!A:I,9,)</f>
        <v>Nível 1</v>
      </c>
      <c r="E101" s="96" t="str">
        <f>IFERROR(IF(VLOOKUP("MP098_1",Qualidade!J:M,2,)=D101,VLOOKUP("MP098_1",Qualidade!J:M,4,),"-"),"-")</f>
        <v>Realizar levantamento dos requisitos estabelecidos pela NBR ISO/IEC 17025 e implementar as melhorias mais críticas nos laboratórios que atendem os municípios mais relevantes do prestador.</v>
      </c>
      <c r="F101" s="96" t="str">
        <f>IFERROR(IF(VLOOKUP("MP098_2",Qualidade!J:M,2,)=D101,VLOOKUP("MP098_2",Qualidade!J:M,4,),"-"),"-")</f>
        <v>-</v>
      </c>
      <c r="G101" s="96" t="str">
        <f>IFERROR(IF(VLOOKUP("MP098_3",Qualidade!J:M,2,)=D101,VLOOKUP("MP098_3",Qualidade!J:M,4,),"-"),"-")</f>
        <v>-</v>
      </c>
      <c r="H101" s="96" t="str">
        <f>IFERROR(IF(VLOOKUP("MP098_4",Qualidade!J:M,2,)=D101,VLOOKUP("MP098_4",Qualidade!J:M,4,),"-"),"-")</f>
        <v>-</v>
      </c>
      <c r="I101" s="97" t="str">
        <f>IFERROR(IF(VLOOKUP("MP098_5",Qualidade!J:M,2,)=D101,VLOOKUP("MP098_5",Qualidade!J:M,4,),"-"),"-")</f>
        <v>-</v>
      </c>
    </row>
    <row r="102" spans="1:9" ht="111" customHeight="1" x14ac:dyDescent="0.25">
      <c r="A102" s="113"/>
      <c r="B102" s="105" t="s">
        <v>760</v>
      </c>
      <c r="C102" s="102" t="s">
        <v>285</v>
      </c>
      <c r="D102" s="96" t="str">
        <f>VLOOKUP(C102,Qualidade!A:I,9,)</f>
        <v>Nível 1</v>
      </c>
      <c r="E102" s="96" t="str">
        <f>IFERROR(IF(VLOOKUP("MP099_1",Qualidade!J:M,2,)=D102,VLOOKUP("MP099_1",Qualidade!J:M,4,),"-"),"-")</f>
        <v>Realizar levantamento dos profissionais que atuam de forma direta e indireta na realização de análises da qualidade da água para coliformes totais e analisar as suas formações e histórico de capacitações.</v>
      </c>
      <c r="F102" s="96" t="str">
        <f>IFERROR(IF(VLOOKUP("MP099_2",Qualidade!J:M,2,)=D102,VLOOKUP("MP099_2",Qualidade!J:M,4,),"-"),"-")</f>
        <v xml:space="preserve"> Promover treinamentos com foco nos profissionais que não possuem formação diretamente relacionada aos trabalhos realizados e atuam em laboratórios importantes do prestador.</v>
      </c>
      <c r="G102" s="96" t="str">
        <f>IFERROR(IF(VLOOKUP("MP099_3",Qualidade!J:M,2,)=D102,VLOOKUP("MP099_3",Qualidade!J:M,4,),"-"),"-")</f>
        <v>-</v>
      </c>
      <c r="H102" s="96" t="str">
        <f>IFERROR(IF(VLOOKUP("MP099_4",Qualidade!J:M,2,)=D102,VLOOKUP("MP099_4",Qualidade!J:M,4,),"-"),"-")</f>
        <v>-</v>
      </c>
      <c r="I102" s="97" t="str">
        <f>IFERROR(IF(VLOOKUP("MP099_5",Qualidade!J:M,2,)=D102,VLOOKUP("MP099_5",Qualidade!J:M,4,),"-"),"-")</f>
        <v>-</v>
      </c>
    </row>
    <row r="103" spans="1:9" ht="45" x14ac:dyDescent="0.25">
      <c r="A103" s="113"/>
      <c r="B103" s="105" t="s">
        <v>760</v>
      </c>
      <c r="C103" s="102" t="s">
        <v>289</v>
      </c>
      <c r="D103" s="96" t="str">
        <f>VLOOKUP(C103,Qualidade!A:I,9,)</f>
        <v>Nível 1</v>
      </c>
      <c r="E103" s="96" t="str">
        <f>IFERROR(IF(VLOOKUP("MP100_1",Qualidade!J:M,2,)=D103,VLOOKUP("MP100_1",Qualidade!J:M,4,),"-"),"-")</f>
        <v>Realizar registro das análises de qualidade da água para coliformes totais em planilhas eletrônicas.</v>
      </c>
      <c r="F103" s="96" t="str">
        <f>IFERROR(IF(VLOOKUP("MP100_2",Qualidade!J:M,2,)=D103,VLOOKUP("MP100_2",Qualidade!J:M,4,),"-"),"-")</f>
        <v>-</v>
      </c>
      <c r="G103" s="96" t="str">
        <f>IFERROR(IF(VLOOKUP("MP100_3",Qualidade!J:M,2,)=D103,VLOOKUP("MP100_3",Qualidade!J:M,4,),"-"),"-")</f>
        <v>-</v>
      </c>
      <c r="H103" s="96" t="str">
        <f>IFERROR(IF(VLOOKUP("MP100_4",Qualidade!J:M,2,)=D103,VLOOKUP("MP100_4",Qualidade!J:M,4,),"-"),"-")</f>
        <v>-</v>
      </c>
      <c r="I103" s="97" t="str">
        <f>IFERROR(IF(VLOOKUP("MP100_5",Qualidade!J:M,2,)=D103,VLOOKUP("MP100_5",Qualidade!J:M,4,),"-"),"-")</f>
        <v>-</v>
      </c>
    </row>
    <row r="104" spans="1:9" ht="195" x14ac:dyDescent="0.25">
      <c r="A104" s="113"/>
      <c r="B104" s="105" t="s">
        <v>760</v>
      </c>
      <c r="C104" s="102" t="s">
        <v>293</v>
      </c>
      <c r="D104" s="96" t="str">
        <f>VLOOKUP(C104,Qualidade!A:I,9,)</f>
        <v>Nível 1</v>
      </c>
      <c r="E104" s="96" t="str">
        <f>IFERROR(IF(VLOOKUP("MP101_1",Qualidade!J:M,2,)=D104,VLOOKUP("MP101_1",Qualidade!J:M,4,),"-"),"-")</f>
        <v>Estabelecer procedimento para análise periódica dos resultados das análises de qualidade de água para coliformes totais, considerando a aplicação testes analíticos para verificação de resultados fora do padrão acima do limite estabelecido na portaria no ministério da saúde, resultados fora do padrão muito elevado em relação à média histórica ou quantidade de amostras analisadas abaixo do previsto na portaria do ministério da saúde ou norma interna.</v>
      </c>
      <c r="F104" s="96" t="str">
        <f>IFERROR(IF(VLOOKUP("MP101_2",Qualidade!J:M,2,)=D104,VLOOKUP("MP101_2",Qualidade!J:M,4,),"-"),"-")</f>
        <v>-</v>
      </c>
      <c r="G104" s="96" t="str">
        <f>IFERROR(IF(VLOOKUP("MP101_3",Qualidade!J:M,2,)=D104,VLOOKUP("MP101_3",Qualidade!J:M,4,),"-"),"-")</f>
        <v>-</v>
      </c>
      <c r="H104" s="96" t="str">
        <f>IFERROR(IF(VLOOKUP("MP101_4",Qualidade!J:M,2,)=D104,VLOOKUP("MP101_4",Qualidade!J:M,4,),"-"),"-")</f>
        <v>-</v>
      </c>
      <c r="I104" s="97" t="str">
        <f>IFERROR(IF(VLOOKUP("MP101_5",Qualidade!J:M,2,)=D104,VLOOKUP("MP101_5",Qualidade!J:M,4,),"-"),"-")</f>
        <v>-</v>
      </c>
    </row>
    <row r="105" spans="1:9" ht="60" x14ac:dyDescent="0.25">
      <c r="A105" s="113"/>
      <c r="B105" s="105" t="s">
        <v>761</v>
      </c>
      <c r="C105" s="102" t="s">
        <v>664</v>
      </c>
      <c r="D105" s="121" t="str">
        <f>VLOOKUP(C105,TI!A:I,9,)</f>
        <v>Nível 1</v>
      </c>
      <c r="E105" s="96" t="str">
        <f>IFERROR(IF(VLOOKUP("MP102_1",TI!J:M,2,)=D105,VLOOKUP("MP102_1",TI!J:M,4,),"-"),"-")</f>
        <v>Desenvolver e formalizar política e/ou procedimento para concessão, revogação e revisão de acesso aos sistemas corporativos.</v>
      </c>
      <c r="F105" s="96" t="str">
        <f>IFERROR(IF(VLOOKUP("MP102_2",TI!J:M,2,)=D105,VLOOKUP("MP102_2",TI!J:M,4,),"-"),"-")</f>
        <v>-</v>
      </c>
      <c r="G105" s="96" t="str">
        <f>IFERROR(IF(VLOOKUP("MP102_3",TI!J:M,2,)=D105,VLOOKUP("MP102_3",TI!J:M,4,),"-"),"-")</f>
        <v>-</v>
      </c>
      <c r="H105" s="96" t="str">
        <f>IFERROR(IF(VLOOKUP("MP102_4",TI!J:M,2,)=D105,VLOOKUP("MP102_4",TI!J:M,4,),"-"),"-")</f>
        <v>-</v>
      </c>
      <c r="I105" s="97" t="str">
        <f>IFERROR(IF(VLOOKUP("MP102_5",TI!J:M,2,)=D105,VLOOKUP("MP102_5",TI!J:M,4,),"-"),"-")</f>
        <v>-</v>
      </c>
    </row>
    <row r="106" spans="1:9" ht="87.75" customHeight="1" thickBot="1" x14ac:dyDescent="0.3">
      <c r="A106" s="113"/>
      <c r="B106" s="98" t="s">
        <v>761</v>
      </c>
      <c r="C106" s="103" t="s">
        <v>665</v>
      </c>
      <c r="D106" s="99" t="str">
        <f>VLOOKUP(C106,TI!A:I,9,)</f>
        <v>Nível 1</v>
      </c>
      <c r="E106" s="99" t="str">
        <f>IFERROR(IF(VLOOKUP("MP103_1",TI!J:M,2,)=D106,VLOOKUP("MP103_1",TI!J:M,4,),"-"),"-")</f>
        <v>Avaliar a criação ou habilitação de trilha de auditoria nos principais sistemas de gestão, seja através da aplicação ou diretamente no banco de dados.</v>
      </c>
      <c r="F106" s="99" t="str">
        <f>IFERROR(IF(VLOOKUP("MP103_2",TI!J:M,2,)=D106,VLOOKUP("MP103_2",TI!J:M,4,),"-"),"-")</f>
        <v>-</v>
      </c>
      <c r="G106" s="99" t="str">
        <f>IFERROR(IF(VLOOKUP("MP103_3",TI!J:M,2,)=D106,VLOOKUP("MP103_3",TI!J:M,4,),"-"),"-")</f>
        <v>-</v>
      </c>
      <c r="H106" s="99" t="str">
        <f>IFERROR(IF(VLOOKUP("MP103_4",TI!J:M,2,)=D106,VLOOKUP("MP103_4",TI!J:M,4,),"-"),"-")</f>
        <v>-</v>
      </c>
      <c r="I106" s="100" t="str">
        <f>IFERROR(IF(VLOOKUP("MP103_5",TI!J:M,2,)=D106,VLOOKUP("MP103_5",TI!J:M,4,),"-"),"-")</f>
        <v>-</v>
      </c>
    </row>
  </sheetData>
  <mergeCells count="4">
    <mergeCell ref="E2:I2"/>
    <mergeCell ref="D2:D3"/>
    <mergeCell ref="C2:C3"/>
    <mergeCell ref="B2:B3"/>
  </mergeCells>
  <conditionalFormatting sqref="D4:D106">
    <cfRule type="containsText" dxfId="2" priority="1" operator="containsText" text="Nível 3">
      <formula>NOT(ISERROR(SEARCH("Nível 3",D4)))</formula>
    </cfRule>
    <cfRule type="containsText" dxfId="1" priority="2" operator="containsText" text="Nível 2">
      <formula>NOT(ISERROR(SEARCH("Nível 2",D4)))</formula>
    </cfRule>
    <cfRule type="containsText" dxfId="0" priority="3" operator="containsText" text="Nível 1">
      <formula>NOT(ISERROR(SEARCH("Nível 1",D4)))</formula>
    </cfRule>
  </conditionalFormatting>
  <pageMargins left="0.23622047244094491" right="0.23622047244094491" top="0.74803149606299213" bottom="0.74803149606299213" header="0.31496062992125984" footer="0.31496062992125984"/>
  <pageSetup paperSize="9" scale="53" orientation="landscape" r:id="rId1"/>
  <headerFooter>
    <oddHeader>&amp;L&amp;"-,Negrito"Relatório de Ações Recomendadas
Melhores Práticas Gestão de Informações - Controles Internos
Metodologia ACERTAR&amp;C&amp;"-,Negrito"&amp;KFF0000PRESTADOR
DATA
ANO-BASE</oddHeader>
    <oddFooter>&amp;L&amp;"-,Negrito"&amp;KFF0000Relatores:&amp;CPágina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showGridLines="0" zoomScale="80" zoomScaleNormal="80" workbookViewId="0"/>
  </sheetViews>
  <sheetFormatPr defaultRowHeight="15" x14ac:dyDescent="0.25"/>
  <cols>
    <col min="1" max="1" width="2.28515625" customWidth="1"/>
    <col min="2" max="2" width="56.5703125" bestFit="1" customWidth="1"/>
    <col min="3" max="3" width="23.28515625" bestFit="1" customWidth="1"/>
    <col min="4" max="4" width="7.7109375" bestFit="1" customWidth="1"/>
    <col min="5" max="5" width="15.42578125" hidden="1" customWidth="1"/>
    <col min="6" max="6" width="30.140625" customWidth="1"/>
  </cols>
  <sheetData>
    <row r="1" spans="1:8" x14ac:dyDescent="0.25">
      <c r="A1" s="4" t="s">
        <v>744</v>
      </c>
    </row>
    <row r="2" spans="1:8" x14ac:dyDescent="0.25">
      <c r="A2" s="4" t="s">
        <v>745</v>
      </c>
    </row>
    <row r="3" spans="1:8" ht="15.75" thickBot="1" x14ac:dyDescent="0.3">
      <c r="D3" s="51"/>
    </row>
    <row r="4" spans="1:8" ht="15" customHeight="1" x14ac:dyDescent="0.25">
      <c r="B4" s="65" t="s">
        <v>631</v>
      </c>
      <c r="C4" s="66" t="s">
        <v>639</v>
      </c>
      <c r="D4" s="66" t="s">
        <v>640</v>
      </c>
      <c r="E4" s="73" t="s">
        <v>641</v>
      </c>
      <c r="F4" s="67" t="s">
        <v>740</v>
      </c>
    </row>
    <row r="5" spans="1:8" x14ac:dyDescent="0.25">
      <c r="B5" s="62" t="s">
        <v>638</v>
      </c>
      <c r="C5" s="68">
        <f>SUM(C6:C14)</f>
        <v>240</v>
      </c>
      <c r="D5" s="63"/>
      <c r="E5" s="74"/>
      <c r="F5" s="64"/>
    </row>
    <row r="6" spans="1:8" x14ac:dyDescent="0.25">
      <c r="B6" s="128" t="s">
        <v>630</v>
      </c>
      <c r="C6" s="129"/>
      <c r="D6" s="129"/>
      <c r="E6" s="129"/>
      <c r="F6" s="130"/>
    </row>
    <row r="7" spans="1:8" x14ac:dyDescent="0.25">
      <c r="B7" s="81" t="s">
        <v>630</v>
      </c>
      <c r="C7" s="5">
        <v>10</v>
      </c>
      <c r="D7" s="53"/>
      <c r="E7" s="75"/>
      <c r="F7" s="78" t="s">
        <v>979</v>
      </c>
    </row>
    <row r="8" spans="1:8" ht="30" x14ac:dyDescent="0.25">
      <c r="B8" s="81" t="s">
        <v>746</v>
      </c>
      <c r="C8" s="5">
        <v>20</v>
      </c>
      <c r="D8" s="53"/>
      <c r="E8" s="75"/>
      <c r="F8" s="78" t="s">
        <v>644</v>
      </c>
      <c r="H8" s="82"/>
    </row>
    <row r="9" spans="1:8" x14ac:dyDescent="0.25">
      <c r="B9" s="128" t="s">
        <v>632</v>
      </c>
      <c r="C9" s="129"/>
      <c r="D9" s="129"/>
      <c r="E9" s="129"/>
      <c r="F9" s="130"/>
    </row>
    <row r="10" spans="1:8" x14ac:dyDescent="0.25">
      <c r="B10" s="59" t="s">
        <v>633</v>
      </c>
      <c r="C10" s="5">
        <v>90</v>
      </c>
      <c r="D10" s="52">
        <v>16</v>
      </c>
      <c r="E10" s="76">
        <f>C10/D10</f>
        <v>5.625</v>
      </c>
      <c r="F10" s="78" t="s">
        <v>742</v>
      </c>
    </row>
    <row r="11" spans="1:8" x14ac:dyDescent="0.25">
      <c r="B11" s="83" t="s">
        <v>748</v>
      </c>
      <c r="C11" s="84">
        <v>30</v>
      </c>
      <c r="D11" s="84"/>
      <c r="E11" s="85"/>
      <c r="F11" s="86"/>
    </row>
    <row r="12" spans="1:8" x14ac:dyDescent="0.25">
      <c r="B12" s="59" t="s">
        <v>634</v>
      </c>
      <c r="C12" s="5">
        <v>50</v>
      </c>
      <c r="D12" s="52">
        <v>9</v>
      </c>
      <c r="E12" s="76">
        <f>C12/D12</f>
        <v>5.5555555555555554</v>
      </c>
      <c r="F12" s="78" t="s">
        <v>645</v>
      </c>
    </row>
    <row r="13" spans="1:8" x14ac:dyDescent="0.25">
      <c r="B13" s="59" t="s">
        <v>636</v>
      </c>
      <c r="C13" s="5">
        <v>25</v>
      </c>
      <c r="D13" s="52">
        <v>5</v>
      </c>
      <c r="E13" s="76">
        <f>C13/D13</f>
        <v>5</v>
      </c>
      <c r="F13" s="78" t="s">
        <v>646</v>
      </c>
    </row>
    <row r="14" spans="1:8" x14ac:dyDescent="0.25">
      <c r="B14" s="59" t="s">
        <v>642</v>
      </c>
      <c r="C14" s="5">
        <v>15</v>
      </c>
      <c r="D14" s="52"/>
      <c r="E14" s="76"/>
      <c r="F14" s="78" t="s">
        <v>742</v>
      </c>
    </row>
    <row r="15" spans="1:8" x14ac:dyDescent="0.25">
      <c r="B15" s="62" t="s">
        <v>643</v>
      </c>
      <c r="C15" s="68">
        <f>SUM(C16:C18)</f>
        <v>120</v>
      </c>
      <c r="D15" s="68"/>
      <c r="E15" s="74"/>
      <c r="F15" s="79"/>
    </row>
    <row r="16" spans="1:8" x14ac:dyDescent="0.25">
      <c r="B16" s="59" t="s">
        <v>635</v>
      </c>
      <c r="C16" s="5">
        <v>65</v>
      </c>
      <c r="D16" s="52">
        <v>13</v>
      </c>
      <c r="E16" s="76">
        <f>C16/D16</f>
        <v>5</v>
      </c>
      <c r="F16" s="78" t="s">
        <v>743</v>
      </c>
    </row>
    <row r="17" spans="2:6" x14ac:dyDescent="0.25">
      <c r="B17" s="59" t="s">
        <v>637</v>
      </c>
      <c r="C17" s="5">
        <v>30</v>
      </c>
      <c r="D17" s="52">
        <v>6</v>
      </c>
      <c r="E17" s="76">
        <f>C17/D17</f>
        <v>5</v>
      </c>
      <c r="F17" s="78" t="s">
        <v>741</v>
      </c>
    </row>
    <row r="18" spans="2:6" ht="15.75" thickBot="1" x14ac:dyDescent="0.3">
      <c r="B18" s="60" t="s">
        <v>642</v>
      </c>
      <c r="C18" s="69">
        <v>25</v>
      </c>
      <c r="D18" s="61"/>
      <c r="E18" s="77"/>
      <c r="F18" s="80" t="s">
        <v>747</v>
      </c>
    </row>
    <row r="19" spans="2:6" x14ac:dyDescent="0.25">
      <c r="D19" s="51"/>
    </row>
    <row r="20" spans="2:6" x14ac:dyDescent="0.25">
      <c r="D20" s="51"/>
    </row>
  </sheetData>
  <mergeCells count="2">
    <mergeCell ref="B6:F6"/>
    <mergeCell ref="B9:F9"/>
  </mergeCells>
  <pageMargins left="0.511811024" right="0.511811024" top="0.78740157499999996" bottom="0.78740157499999996" header="0.31496062000000002" footer="0.31496062000000002"/>
  <pageSetup paperSize="9" scale="87"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3"/>
  <sheetViews>
    <sheetView showGridLines="0" zoomScale="80" zoomScaleNormal="80" zoomScalePageLayoutView="70" workbookViewId="0"/>
  </sheetViews>
  <sheetFormatPr defaultRowHeight="15" outlineLevelRow="1" outlineLevelCol="1" x14ac:dyDescent="0.25"/>
  <cols>
    <col min="1" max="1" width="1" customWidth="1"/>
    <col min="2" max="2" width="10.5703125" bestFit="1" customWidth="1"/>
    <col min="3" max="3" width="14.42578125" bestFit="1" customWidth="1"/>
    <col min="4" max="4" width="13.85546875" bestFit="1" customWidth="1"/>
    <col min="5" max="5" width="68.42578125" customWidth="1" outlineLevel="1"/>
    <col min="6" max="8" width="17.5703125" customWidth="1" outlineLevel="1"/>
    <col min="9" max="9" width="19.42578125" customWidth="1"/>
    <col min="10" max="10" width="2.140625" style="87" customWidth="1"/>
    <col min="11" max="11" width="8.42578125" customWidth="1" outlineLevel="1"/>
    <col min="12" max="12" width="9.7109375" customWidth="1" outlineLevel="1"/>
    <col min="13" max="13" width="88.28515625" customWidth="1" outlineLevel="1"/>
  </cols>
  <sheetData>
    <row r="1" spans="1:13" x14ac:dyDescent="0.25">
      <c r="A1" s="4" t="s">
        <v>154</v>
      </c>
      <c r="F1" s="3"/>
      <c r="G1" s="3"/>
      <c r="H1" s="3"/>
    </row>
    <row r="2" spans="1:13" x14ac:dyDescent="0.25">
      <c r="A2" s="32" t="s">
        <v>152</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102</v>
      </c>
      <c r="G6" s="144"/>
      <c r="H6" s="147"/>
    </row>
    <row r="8" spans="1:13" ht="31.5" customHeight="1" x14ac:dyDescent="0.25">
      <c r="B8" s="114" t="s">
        <v>0</v>
      </c>
      <c r="C8" s="114" t="s">
        <v>2</v>
      </c>
      <c r="D8" s="114" t="s">
        <v>6</v>
      </c>
      <c r="E8" s="114" t="s">
        <v>11</v>
      </c>
      <c r="F8" s="141" t="s">
        <v>12</v>
      </c>
      <c r="G8" s="141"/>
      <c r="H8" s="141"/>
      <c r="I8" s="115" t="s">
        <v>13</v>
      </c>
      <c r="J8" s="111"/>
      <c r="K8" s="115" t="s">
        <v>19</v>
      </c>
      <c r="L8" s="114" t="s">
        <v>4</v>
      </c>
      <c r="M8" s="114" t="s">
        <v>25</v>
      </c>
    </row>
    <row r="9" spans="1:13" ht="105" outlineLevel="1" x14ac:dyDescent="0.25">
      <c r="B9" s="133" t="s">
        <v>1</v>
      </c>
      <c r="C9" s="133" t="s">
        <v>3</v>
      </c>
      <c r="D9" s="133" t="s">
        <v>7</v>
      </c>
      <c r="E9" s="16" t="s">
        <v>304</v>
      </c>
      <c r="F9" s="46" t="s">
        <v>518</v>
      </c>
      <c r="G9" s="17" t="s">
        <v>9</v>
      </c>
      <c r="H9" s="17" t="s">
        <v>10</v>
      </c>
      <c r="I9" s="17" t="s">
        <v>40</v>
      </c>
      <c r="J9" s="88" t="s">
        <v>764</v>
      </c>
      <c r="K9" s="8" t="s">
        <v>17</v>
      </c>
      <c r="L9" s="15">
        <v>1</v>
      </c>
      <c r="M9" s="16" t="s">
        <v>21</v>
      </c>
    </row>
    <row r="10" spans="1:13" ht="105" outlineLevel="1" x14ac:dyDescent="0.25">
      <c r="B10" s="133"/>
      <c r="C10" s="133"/>
      <c r="D10" s="133"/>
      <c r="E10" s="20" t="s">
        <v>31</v>
      </c>
      <c r="F10" s="10"/>
      <c r="G10" s="10"/>
      <c r="H10" s="10"/>
      <c r="I10" s="9" t="s">
        <v>14</v>
      </c>
      <c r="J10" s="88" t="s">
        <v>765</v>
      </c>
      <c r="K10" s="8" t="s">
        <v>17</v>
      </c>
      <c r="L10" s="15">
        <v>2</v>
      </c>
      <c r="M10" s="16" t="s">
        <v>20</v>
      </c>
    </row>
    <row r="11" spans="1:13" ht="32.25" customHeight="1" outlineLevel="1" x14ac:dyDescent="0.25">
      <c r="B11" s="133"/>
      <c r="C11" s="133"/>
      <c r="D11" s="133"/>
      <c r="E11" s="21" t="s">
        <v>30</v>
      </c>
      <c r="F11" s="10"/>
      <c r="G11" s="10"/>
      <c r="H11" s="10"/>
      <c r="I11" s="11" t="s">
        <v>14</v>
      </c>
      <c r="J11" s="88" t="s">
        <v>766</v>
      </c>
      <c r="K11" s="8" t="s">
        <v>18</v>
      </c>
      <c r="L11" s="15">
        <v>3</v>
      </c>
      <c r="M11" s="16" t="s">
        <v>26</v>
      </c>
    </row>
    <row r="12" spans="1:13" outlineLevel="1" x14ac:dyDescent="0.25">
      <c r="B12" s="133"/>
      <c r="C12" s="133"/>
      <c r="D12" s="133"/>
      <c r="E12" s="21" t="s">
        <v>29</v>
      </c>
      <c r="F12" s="10"/>
      <c r="G12" s="10"/>
      <c r="H12" s="10"/>
      <c r="I12" s="11" t="s">
        <v>14</v>
      </c>
    </row>
    <row r="13" spans="1:13" outlineLevel="1" x14ac:dyDescent="0.25">
      <c r="B13" s="133"/>
      <c r="C13" s="133"/>
      <c r="D13" s="133"/>
      <c r="E13" s="20" t="s">
        <v>28</v>
      </c>
      <c r="F13" s="10"/>
      <c r="G13" s="10"/>
      <c r="H13" s="10"/>
      <c r="I13" s="9" t="s">
        <v>14</v>
      </c>
      <c r="J13" s="89"/>
      <c r="K13" s="1"/>
      <c r="L13" s="3"/>
      <c r="M13" s="2"/>
    </row>
    <row r="14" spans="1:13" outlineLevel="1" x14ac:dyDescent="0.25">
      <c r="B14" s="133"/>
      <c r="C14" s="133"/>
      <c r="D14" s="133"/>
      <c r="E14" s="20" t="s">
        <v>27</v>
      </c>
      <c r="F14" s="10"/>
      <c r="G14" s="10"/>
      <c r="H14" s="10"/>
      <c r="I14" s="9" t="s">
        <v>14</v>
      </c>
      <c r="J14" s="89"/>
      <c r="K14" s="1"/>
      <c r="L14" s="6"/>
      <c r="M14" s="2"/>
    </row>
    <row r="15" spans="1:13" outlineLevel="1" x14ac:dyDescent="0.25">
      <c r="B15" s="133"/>
      <c r="C15" s="133"/>
      <c r="D15" s="133"/>
      <c r="E15" s="20" t="s">
        <v>5</v>
      </c>
      <c r="F15" s="10"/>
      <c r="G15" s="10"/>
      <c r="H15" s="10"/>
      <c r="I15" s="9" t="s">
        <v>14</v>
      </c>
      <c r="J15" s="89"/>
      <c r="K15" s="1"/>
      <c r="L15" s="3"/>
      <c r="M15" s="3"/>
    </row>
    <row r="16" spans="1:13" outlineLevel="1" x14ac:dyDescent="0.25">
      <c r="B16" s="133"/>
      <c r="C16" s="133"/>
      <c r="D16" s="133"/>
      <c r="E16" s="18" t="s">
        <v>24</v>
      </c>
      <c r="F16" s="12">
        <f>COUNTIF(F10:F15,"Sim")</f>
        <v>0</v>
      </c>
      <c r="G16" s="12">
        <f>COUNTIF(G10:G15,"Sim")</f>
        <v>0</v>
      </c>
      <c r="H16" s="12">
        <f>COUNTIF(H10:H15,"Sim")</f>
        <v>0</v>
      </c>
      <c r="I16" s="9" t="s">
        <v>14</v>
      </c>
      <c r="J16" s="89"/>
      <c r="K16" s="1"/>
      <c r="L16" s="3"/>
      <c r="M16" s="2"/>
    </row>
    <row r="17" spans="1:13" x14ac:dyDescent="0.25">
      <c r="A17" s="94" t="s">
        <v>1</v>
      </c>
      <c r="B17" s="133"/>
      <c r="C17" s="133"/>
      <c r="D17" s="133"/>
      <c r="E17" s="19" t="s">
        <v>22</v>
      </c>
      <c r="F17" s="13" t="str">
        <f>IF(F16=6,"Nível 2 ou 3","Nível 1")</f>
        <v>Nível 1</v>
      </c>
      <c r="G17" s="13" t="str">
        <f>IF(SUM(G16:H16)=12,"Nível 3","Nível 2")</f>
        <v>Nível 2</v>
      </c>
      <c r="H17" s="11" t="s">
        <v>14</v>
      </c>
      <c r="I17" s="14" t="str">
        <f>IF(F17="Nível 1",F17,G17)</f>
        <v>Nível 1</v>
      </c>
      <c r="L17" s="6"/>
      <c r="M17" s="2"/>
    </row>
    <row r="18" spans="1:13" x14ac:dyDescent="0.25">
      <c r="A18" s="94"/>
    </row>
    <row r="19" spans="1:13" ht="105" outlineLevel="1" x14ac:dyDescent="0.25">
      <c r="A19" s="94"/>
      <c r="B19" s="133" t="s">
        <v>23</v>
      </c>
      <c r="C19" s="133" t="s">
        <v>3</v>
      </c>
      <c r="D19" s="133" t="s">
        <v>41</v>
      </c>
      <c r="E19" s="16" t="s">
        <v>305</v>
      </c>
      <c r="F19" s="17" t="s">
        <v>43</v>
      </c>
      <c r="G19" s="17" t="s">
        <v>48</v>
      </c>
      <c r="H19" s="8" t="s">
        <v>14</v>
      </c>
      <c r="I19" s="17" t="s">
        <v>40</v>
      </c>
      <c r="J19" s="90" t="s">
        <v>767</v>
      </c>
      <c r="K19" s="8" t="s">
        <v>17</v>
      </c>
      <c r="L19" s="15">
        <v>1</v>
      </c>
      <c r="M19" s="16" t="s">
        <v>42</v>
      </c>
    </row>
    <row r="20" spans="1:13" ht="105" outlineLevel="1" x14ac:dyDescent="0.25">
      <c r="A20" s="94"/>
      <c r="B20" s="133"/>
      <c r="C20" s="133"/>
      <c r="D20" s="133"/>
      <c r="E20" s="20" t="s">
        <v>45</v>
      </c>
      <c r="F20" s="22"/>
      <c r="G20" s="22"/>
      <c r="H20" s="15" t="s">
        <v>14</v>
      </c>
      <c r="I20" s="15" t="s">
        <v>14</v>
      </c>
      <c r="J20" s="90" t="s">
        <v>768</v>
      </c>
      <c r="K20" s="8" t="s">
        <v>17</v>
      </c>
      <c r="L20" s="15">
        <v>2</v>
      </c>
      <c r="M20" s="16" t="s">
        <v>49</v>
      </c>
    </row>
    <row r="21" spans="1:13" ht="105" outlineLevel="1" x14ac:dyDescent="0.25">
      <c r="A21" s="94"/>
      <c r="B21" s="133"/>
      <c r="C21" s="133"/>
      <c r="D21" s="133"/>
      <c r="E21" s="21" t="s">
        <v>44</v>
      </c>
      <c r="F21" s="22"/>
      <c r="G21" s="22"/>
      <c r="H21" s="15" t="s">
        <v>14</v>
      </c>
      <c r="I21" s="15" t="s">
        <v>14</v>
      </c>
      <c r="J21" s="90" t="s">
        <v>769</v>
      </c>
      <c r="K21" s="8" t="s">
        <v>18</v>
      </c>
      <c r="L21" s="15">
        <v>3</v>
      </c>
      <c r="M21" s="16" t="s">
        <v>50</v>
      </c>
    </row>
    <row r="22" spans="1:13" outlineLevel="1" x14ac:dyDescent="0.25">
      <c r="A22" s="94"/>
      <c r="B22" s="133"/>
      <c r="C22" s="133"/>
      <c r="D22" s="133"/>
      <c r="E22" s="21" t="s">
        <v>46</v>
      </c>
      <c r="F22" s="22"/>
      <c r="G22" s="22"/>
      <c r="H22" s="8" t="s">
        <v>14</v>
      </c>
      <c r="I22" s="8" t="s">
        <v>14</v>
      </c>
    </row>
    <row r="23" spans="1:13" outlineLevel="1" x14ac:dyDescent="0.25">
      <c r="A23" s="94"/>
      <c r="B23" s="133"/>
      <c r="C23" s="133"/>
      <c r="D23" s="133"/>
      <c r="E23" s="20" t="s">
        <v>47</v>
      </c>
      <c r="F23" s="22"/>
      <c r="G23" s="22"/>
      <c r="H23" s="8" t="s">
        <v>14</v>
      </c>
      <c r="I23" s="8" t="s">
        <v>14</v>
      </c>
    </row>
    <row r="24" spans="1:13" outlineLevel="1" x14ac:dyDescent="0.25">
      <c r="A24" s="94"/>
      <c r="B24" s="133"/>
      <c r="C24" s="133"/>
      <c r="D24" s="133"/>
      <c r="E24" s="18" t="s">
        <v>24</v>
      </c>
      <c r="F24" s="23">
        <f>COUNTIF(F20:F23,"Sim")</f>
        <v>0</v>
      </c>
      <c r="G24" s="23">
        <f>COUNTIF(G20:G23,"Sim")</f>
        <v>0</v>
      </c>
      <c r="H24" s="8" t="s">
        <v>14</v>
      </c>
      <c r="I24" s="8" t="s">
        <v>14</v>
      </c>
    </row>
    <row r="25" spans="1:13" x14ac:dyDescent="0.25">
      <c r="A25" s="94" t="s">
        <v>23</v>
      </c>
      <c r="B25" s="133"/>
      <c r="C25" s="133"/>
      <c r="D25" s="133"/>
      <c r="E25" s="19" t="s">
        <v>22</v>
      </c>
      <c r="F25" s="24" t="str">
        <f>IF(F24=4,"Nível 2 ou 3","Nível 1")</f>
        <v>Nível 1</v>
      </c>
      <c r="G25" s="24" t="str">
        <f>IF(SUM(G24)=4,"Nível 3","Nível 2")</f>
        <v>Nível 2</v>
      </c>
      <c r="H25" s="8" t="s">
        <v>14</v>
      </c>
      <c r="I25" s="25" t="str">
        <f>IF(F25="Nível 1",F25,G25)</f>
        <v>Nível 1</v>
      </c>
    </row>
    <row r="26" spans="1:13" x14ac:dyDescent="0.25">
      <c r="A26" s="94"/>
    </row>
    <row r="27" spans="1:13" ht="105" outlineLevel="1" x14ac:dyDescent="0.25">
      <c r="A27" s="94"/>
      <c r="B27" s="133" t="s">
        <v>55</v>
      </c>
      <c r="C27" s="133" t="s">
        <v>3</v>
      </c>
      <c r="D27" s="133" t="s">
        <v>51</v>
      </c>
      <c r="E27" s="16" t="s">
        <v>56</v>
      </c>
      <c r="F27" s="17" t="s">
        <v>57</v>
      </c>
      <c r="G27" s="17" t="s">
        <v>58</v>
      </c>
      <c r="H27" s="15" t="s">
        <v>14</v>
      </c>
      <c r="I27" s="17" t="s">
        <v>40</v>
      </c>
      <c r="J27" s="90" t="s">
        <v>770</v>
      </c>
      <c r="K27" s="8" t="s">
        <v>17</v>
      </c>
      <c r="L27" s="15">
        <v>1</v>
      </c>
      <c r="M27" s="16" t="s">
        <v>59</v>
      </c>
    </row>
    <row r="28" spans="1:13" ht="105" outlineLevel="1" x14ac:dyDescent="0.25">
      <c r="A28" s="94"/>
      <c r="B28" s="133"/>
      <c r="C28" s="133"/>
      <c r="D28" s="133"/>
      <c r="E28" s="21" t="s">
        <v>52</v>
      </c>
      <c r="F28" s="22"/>
      <c r="G28" s="22"/>
      <c r="H28" s="15" t="s">
        <v>14</v>
      </c>
      <c r="I28" s="8" t="s">
        <v>14</v>
      </c>
      <c r="J28" s="90" t="s">
        <v>771</v>
      </c>
      <c r="K28" s="8" t="s">
        <v>18</v>
      </c>
      <c r="L28" s="15">
        <v>2</v>
      </c>
      <c r="M28" s="16" t="s">
        <v>60</v>
      </c>
    </row>
    <row r="29" spans="1:13" outlineLevel="1" x14ac:dyDescent="0.25">
      <c r="A29" s="94"/>
      <c r="B29" s="133"/>
      <c r="C29" s="133"/>
      <c r="D29" s="133"/>
      <c r="E29" s="21" t="s">
        <v>53</v>
      </c>
      <c r="F29" s="22"/>
      <c r="G29" s="22"/>
      <c r="H29" s="8" t="s">
        <v>14</v>
      </c>
      <c r="I29" s="8" t="s">
        <v>14</v>
      </c>
    </row>
    <row r="30" spans="1:13" outlineLevel="1" x14ac:dyDescent="0.25">
      <c r="A30" s="94"/>
      <c r="B30" s="133"/>
      <c r="C30" s="133"/>
      <c r="D30" s="133"/>
      <c r="E30" s="20" t="s">
        <v>54</v>
      </c>
      <c r="F30" s="22"/>
      <c r="G30" s="22"/>
      <c r="H30" s="8" t="s">
        <v>14</v>
      </c>
      <c r="I30" s="8" t="s">
        <v>14</v>
      </c>
    </row>
    <row r="31" spans="1:13" outlineLevel="1" x14ac:dyDescent="0.25">
      <c r="A31" s="94"/>
      <c r="B31" s="133"/>
      <c r="C31" s="133"/>
      <c r="D31" s="133"/>
      <c r="E31" s="18" t="s">
        <v>24</v>
      </c>
      <c r="F31" s="23">
        <f>COUNTIF(F28:F30,"Sim")</f>
        <v>0</v>
      </c>
      <c r="G31" s="23">
        <f>COUNTIF(G28:G30,"Sim")</f>
        <v>0</v>
      </c>
      <c r="H31" s="8" t="s">
        <v>14</v>
      </c>
      <c r="I31" s="8" t="s">
        <v>14</v>
      </c>
    </row>
    <row r="32" spans="1:13" x14ac:dyDescent="0.25">
      <c r="A32" s="94" t="str">
        <f>B27</f>
        <v>MP003</v>
      </c>
      <c r="B32" s="133"/>
      <c r="C32" s="133"/>
      <c r="D32" s="133"/>
      <c r="E32" s="19" t="s">
        <v>22</v>
      </c>
      <c r="F32" s="24" t="str">
        <f>IF(F31=3,"Nível 2 ou 3","Nível 1")</f>
        <v>Nível 1</v>
      </c>
      <c r="G32" s="24" t="str">
        <f>IF(SUM(G31)=3,"Nível 3","Nível 2")</f>
        <v>Nível 2</v>
      </c>
      <c r="H32" s="8" t="s">
        <v>14</v>
      </c>
      <c r="I32" s="25" t="str">
        <f>IF(F32="Nível 1",F32,G32)</f>
        <v>Nível 1</v>
      </c>
    </row>
    <row r="33" spans="1:13" x14ac:dyDescent="0.25">
      <c r="A33" s="94"/>
    </row>
    <row r="34" spans="1:13" ht="75" customHeight="1" outlineLevel="1" x14ac:dyDescent="0.25">
      <c r="A34" s="94"/>
      <c r="B34" s="134" t="s">
        <v>61</v>
      </c>
      <c r="C34" s="134" t="s">
        <v>3</v>
      </c>
      <c r="D34" s="134" t="s">
        <v>51</v>
      </c>
      <c r="E34" s="131" t="s">
        <v>63</v>
      </c>
      <c r="F34" s="17" t="s">
        <v>64</v>
      </c>
      <c r="G34" s="8" t="s">
        <v>14</v>
      </c>
      <c r="H34" s="8" t="s">
        <v>14</v>
      </c>
      <c r="I34" s="17" t="s">
        <v>40</v>
      </c>
      <c r="J34" s="90" t="s">
        <v>772</v>
      </c>
      <c r="K34" s="8" t="s">
        <v>17</v>
      </c>
      <c r="L34" s="15">
        <v>1</v>
      </c>
      <c r="M34" s="16" t="s">
        <v>62</v>
      </c>
    </row>
    <row r="35" spans="1:13" outlineLevel="1" x14ac:dyDescent="0.25">
      <c r="A35" s="94"/>
      <c r="B35" s="135"/>
      <c r="C35" s="135"/>
      <c r="D35" s="135"/>
      <c r="E35" s="132"/>
      <c r="F35" s="22"/>
      <c r="G35" s="8" t="s">
        <v>14</v>
      </c>
      <c r="H35" s="8" t="s">
        <v>14</v>
      </c>
      <c r="I35" s="8" t="s">
        <v>14</v>
      </c>
      <c r="J35" s="91"/>
    </row>
    <row r="36" spans="1:13" x14ac:dyDescent="0.25">
      <c r="A36" s="94" t="str">
        <f>B34</f>
        <v>MP004</v>
      </c>
      <c r="B36" s="136"/>
      <c r="C36" s="136"/>
      <c r="D36" s="136"/>
      <c r="E36" s="19" t="s">
        <v>22</v>
      </c>
      <c r="F36" s="24" t="str">
        <f>IF(F35="Sim","Nível 3","Nível 1")</f>
        <v>Nível 1</v>
      </c>
      <c r="G36" s="8" t="s">
        <v>14</v>
      </c>
      <c r="H36" s="8" t="s">
        <v>14</v>
      </c>
      <c r="I36" s="25" t="str">
        <f>F36</f>
        <v>Nível 1</v>
      </c>
      <c r="J36" s="91"/>
    </row>
    <row r="37" spans="1:13" x14ac:dyDescent="0.25">
      <c r="A37" s="94"/>
    </row>
    <row r="38" spans="1:13" ht="45" outlineLevel="1" x14ac:dyDescent="0.25">
      <c r="A38" s="94"/>
      <c r="B38" s="134" t="s">
        <v>65</v>
      </c>
      <c r="C38" s="134" t="s">
        <v>3</v>
      </c>
      <c r="D38" s="134" t="s">
        <v>51</v>
      </c>
      <c r="E38" s="131" t="s">
        <v>66</v>
      </c>
      <c r="F38" s="17" t="s">
        <v>68</v>
      </c>
      <c r="G38" s="8" t="s">
        <v>14</v>
      </c>
      <c r="H38" s="8" t="s">
        <v>14</v>
      </c>
      <c r="I38" s="17" t="s">
        <v>40</v>
      </c>
      <c r="J38" s="92" t="s">
        <v>773</v>
      </c>
      <c r="K38" s="8" t="s">
        <v>17</v>
      </c>
      <c r="L38" s="15">
        <v>1</v>
      </c>
      <c r="M38" s="16" t="s">
        <v>67</v>
      </c>
    </row>
    <row r="39" spans="1:13" outlineLevel="1" x14ac:dyDescent="0.25">
      <c r="A39" s="94"/>
      <c r="B39" s="135"/>
      <c r="C39" s="135"/>
      <c r="D39" s="135"/>
      <c r="E39" s="132"/>
      <c r="F39" s="22"/>
      <c r="G39" s="8" t="s">
        <v>14</v>
      </c>
      <c r="H39" s="8" t="s">
        <v>14</v>
      </c>
      <c r="I39" s="8" t="s">
        <v>14</v>
      </c>
    </row>
    <row r="40" spans="1:13" x14ac:dyDescent="0.25">
      <c r="A40" s="94" t="str">
        <f>B38</f>
        <v>MP005</v>
      </c>
      <c r="B40" s="136"/>
      <c r="C40" s="136"/>
      <c r="D40" s="136"/>
      <c r="E40" s="19" t="s">
        <v>22</v>
      </c>
      <c r="F40" s="24" t="str">
        <f>IF(F39="Sim","Nível 3","Nível 1")</f>
        <v>Nível 1</v>
      </c>
      <c r="G40" s="8" t="s">
        <v>14</v>
      </c>
      <c r="H40" s="8" t="s">
        <v>14</v>
      </c>
      <c r="I40" s="25" t="str">
        <f>F40</f>
        <v>Nível 1</v>
      </c>
    </row>
    <row r="41" spans="1:13" x14ac:dyDescent="0.25">
      <c r="A41" s="94"/>
    </row>
    <row r="42" spans="1:13" ht="105" outlineLevel="1" x14ac:dyDescent="0.25">
      <c r="A42" s="94"/>
      <c r="B42" s="133" t="s">
        <v>69</v>
      </c>
      <c r="C42" s="133" t="s">
        <v>3</v>
      </c>
      <c r="D42" s="133" t="s">
        <v>7</v>
      </c>
      <c r="E42" s="16" t="s">
        <v>70</v>
      </c>
      <c r="F42" s="17" t="s">
        <v>76</v>
      </c>
      <c r="G42" s="17" t="s">
        <v>77</v>
      </c>
      <c r="H42" s="8" t="s">
        <v>14</v>
      </c>
      <c r="I42" s="17" t="s">
        <v>40</v>
      </c>
      <c r="J42" s="88" t="s">
        <v>774</v>
      </c>
      <c r="K42" s="8" t="s">
        <v>17</v>
      </c>
      <c r="L42" s="15">
        <v>1</v>
      </c>
      <c r="M42" s="16" t="s">
        <v>78</v>
      </c>
    </row>
    <row r="43" spans="1:13" ht="105" outlineLevel="1" x14ac:dyDescent="0.25">
      <c r="A43" s="94"/>
      <c r="B43" s="133"/>
      <c r="C43" s="133"/>
      <c r="D43" s="133"/>
      <c r="E43" s="20" t="s">
        <v>72</v>
      </c>
      <c r="F43" s="10"/>
      <c r="G43" s="10"/>
      <c r="H43" s="8" t="s">
        <v>14</v>
      </c>
      <c r="I43" s="9" t="s">
        <v>14</v>
      </c>
      <c r="J43" s="88" t="s">
        <v>775</v>
      </c>
      <c r="K43" s="8" t="s">
        <v>17</v>
      </c>
      <c r="L43" s="15">
        <v>2</v>
      </c>
      <c r="M43" s="16" t="s">
        <v>79</v>
      </c>
    </row>
    <row r="44" spans="1:13" ht="30" outlineLevel="1" x14ac:dyDescent="0.25">
      <c r="A44" s="94"/>
      <c r="B44" s="133"/>
      <c r="C44" s="133"/>
      <c r="D44" s="133"/>
      <c r="E44" s="21" t="s">
        <v>71</v>
      </c>
      <c r="F44" s="10"/>
      <c r="G44" s="10"/>
      <c r="H44" s="8" t="s">
        <v>14</v>
      </c>
      <c r="I44" s="11" t="s">
        <v>14</v>
      </c>
      <c r="J44" s="93" t="s">
        <v>776</v>
      </c>
      <c r="K44" s="8" t="s">
        <v>18</v>
      </c>
      <c r="L44" s="15">
        <v>3</v>
      </c>
      <c r="M44" s="16" t="s">
        <v>80</v>
      </c>
    </row>
    <row r="45" spans="1:13" ht="30" outlineLevel="1" x14ac:dyDescent="0.25">
      <c r="A45" s="94"/>
      <c r="B45" s="133"/>
      <c r="C45" s="133"/>
      <c r="D45" s="133"/>
      <c r="E45" s="20" t="s">
        <v>73</v>
      </c>
      <c r="F45" s="10"/>
      <c r="G45" s="10"/>
      <c r="H45" s="8" t="s">
        <v>14</v>
      </c>
      <c r="I45" s="11" t="s">
        <v>14</v>
      </c>
    </row>
    <row r="46" spans="1:13" ht="30" outlineLevel="1" x14ac:dyDescent="0.25">
      <c r="A46" s="94"/>
      <c r="B46" s="133"/>
      <c r="C46" s="133"/>
      <c r="D46" s="133"/>
      <c r="E46" s="20" t="s">
        <v>74</v>
      </c>
      <c r="F46" s="10"/>
      <c r="G46" s="10"/>
      <c r="H46" s="8" t="s">
        <v>14</v>
      </c>
      <c r="I46" s="9" t="s">
        <v>14</v>
      </c>
      <c r="J46" s="89"/>
      <c r="K46" s="1"/>
      <c r="L46" s="3"/>
      <c r="M46" s="2"/>
    </row>
    <row r="47" spans="1:13" ht="45" outlineLevel="1" x14ac:dyDescent="0.25">
      <c r="A47" s="94"/>
      <c r="B47" s="133"/>
      <c r="C47" s="133"/>
      <c r="D47" s="133"/>
      <c r="E47" s="20" t="s">
        <v>75</v>
      </c>
      <c r="F47" s="10"/>
      <c r="G47" s="10"/>
      <c r="H47" s="8" t="s">
        <v>14</v>
      </c>
      <c r="I47" s="9" t="s">
        <v>14</v>
      </c>
      <c r="J47" s="89"/>
      <c r="K47" s="1"/>
      <c r="L47" s="6"/>
      <c r="M47" s="2"/>
    </row>
    <row r="48" spans="1:13" outlineLevel="1" x14ac:dyDescent="0.25">
      <c r="A48" s="94"/>
      <c r="B48" s="133"/>
      <c r="C48" s="133"/>
      <c r="D48" s="133"/>
      <c r="E48" s="18" t="s">
        <v>24</v>
      </c>
      <c r="F48" s="12">
        <f>COUNTIF(F43:F47,"Sim")</f>
        <v>0</v>
      </c>
      <c r="G48" s="12">
        <f>COUNTIF(G43:G47,"Sim")</f>
        <v>0</v>
      </c>
      <c r="H48" s="8" t="s">
        <v>14</v>
      </c>
      <c r="I48" s="9" t="s">
        <v>14</v>
      </c>
      <c r="J48" s="89"/>
      <c r="K48" s="1"/>
      <c r="L48" s="3"/>
      <c r="M48" s="2"/>
    </row>
    <row r="49" spans="1:13" x14ac:dyDescent="0.25">
      <c r="A49" s="94" t="str">
        <f>B42</f>
        <v>MP006</v>
      </c>
      <c r="B49" s="133"/>
      <c r="C49" s="133"/>
      <c r="D49" s="133"/>
      <c r="E49" s="19" t="s">
        <v>22</v>
      </c>
      <c r="F49" s="13" t="str">
        <f>IF(F48=5,"Nível 2 ou 3","Nível 1")</f>
        <v>Nível 1</v>
      </c>
      <c r="G49" s="13" t="str">
        <f>IF(SUM(G48)=5,"Nível 3","Nível 2")</f>
        <v>Nível 2</v>
      </c>
      <c r="H49" s="11" t="s">
        <v>14</v>
      </c>
      <c r="I49" s="14" t="str">
        <f>IF(F49="Nível 1",F49,G49)</f>
        <v>Nível 1</v>
      </c>
      <c r="L49" s="6"/>
      <c r="M49" s="2"/>
    </row>
    <row r="50" spans="1:13" x14ac:dyDescent="0.25">
      <c r="A50" s="94"/>
    </row>
    <row r="51" spans="1:13" ht="105" outlineLevel="1" x14ac:dyDescent="0.25">
      <c r="A51" s="94"/>
      <c r="B51" s="133" t="s">
        <v>81</v>
      </c>
      <c r="C51" s="133" t="s">
        <v>3</v>
      </c>
      <c r="D51" s="133" t="s">
        <v>82</v>
      </c>
      <c r="E51" s="16" t="s">
        <v>85</v>
      </c>
      <c r="F51" s="17" t="s">
        <v>86</v>
      </c>
      <c r="G51" s="8" t="s">
        <v>14</v>
      </c>
      <c r="H51" s="8" t="s">
        <v>14</v>
      </c>
      <c r="I51" s="17" t="s">
        <v>40</v>
      </c>
      <c r="J51" s="88" t="s">
        <v>777</v>
      </c>
      <c r="K51" s="8" t="s">
        <v>17</v>
      </c>
      <c r="L51" s="15">
        <v>1</v>
      </c>
      <c r="M51" s="16" t="s">
        <v>83</v>
      </c>
    </row>
    <row r="52" spans="1:13" ht="105" outlineLevel="1" x14ac:dyDescent="0.25">
      <c r="A52" s="94"/>
      <c r="B52" s="133"/>
      <c r="C52" s="133"/>
      <c r="D52" s="133"/>
      <c r="E52" s="20" t="s">
        <v>87</v>
      </c>
      <c r="F52" s="27"/>
      <c r="G52" s="8" t="s">
        <v>14</v>
      </c>
      <c r="H52" s="8" t="s">
        <v>14</v>
      </c>
      <c r="I52" s="9" t="s">
        <v>14</v>
      </c>
      <c r="J52" s="88" t="s">
        <v>778</v>
      </c>
      <c r="K52" s="8" t="s">
        <v>18</v>
      </c>
      <c r="L52" s="15">
        <v>2</v>
      </c>
      <c r="M52" s="16" t="s">
        <v>84</v>
      </c>
    </row>
    <row r="53" spans="1:13" x14ac:dyDescent="0.25">
      <c r="A53" s="94" t="str">
        <f>B51</f>
        <v>MP007</v>
      </c>
      <c r="B53" s="133"/>
      <c r="C53" s="133"/>
      <c r="D53" s="133"/>
      <c r="E53" s="19" t="s">
        <v>22</v>
      </c>
      <c r="F53" s="13" t="str">
        <f>IF(F52&lt;80%,"Nível 1",IF(F52&gt;95%,"Nível 3","Nível 2"))</f>
        <v>Nível 1</v>
      </c>
      <c r="G53" s="122"/>
      <c r="H53" s="11" t="s">
        <v>14</v>
      </c>
      <c r="I53" s="14" t="str">
        <f>F53</f>
        <v>Nível 1</v>
      </c>
      <c r="J53" s="93"/>
      <c r="L53" s="6"/>
      <c r="M53" s="2"/>
    </row>
    <row r="54" spans="1:13" x14ac:dyDescent="0.25">
      <c r="A54" s="94"/>
    </row>
    <row r="55" spans="1:13" ht="105" outlineLevel="1" x14ac:dyDescent="0.25">
      <c r="A55" s="94"/>
      <c r="B55" s="133" t="s">
        <v>88</v>
      </c>
      <c r="C55" s="133" t="s">
        <v>3</v>
      </c>
      <c r="D55" s="133" t="s">
        <v>7</v>
      </c>
      <c r="E55" s="131" t="s">
        <v>93</v>
      </c>
      <c r="F55" s="17" t="s">
        <v>92</v>
      </c>
      <c r="G55" s="17" t="s">
        <v>100</v>
      </c>
      <c r="H55" s="8" t="s">
        <v>14</v>
      </c>
      <c r="I55" s="17" t="s">
        <v>40</v>
      </c>
      <c r="J55" s="88" t="s">
        <v>779</v>
      </c>
      <c r="K55" s="8" t="s">
        <v>17</v>
      </c>
      <c r="L55" s="15">
        <v>1</v>
      </c>
      <c r="M55" s="16" t="s">
        <v>89</v>
      </c>
    </row>
    <row r="56" spans="1:13" ht="105" outlineLevel="1" x14ac:dyDescent="0.25">
      <c r="A56" s="94"/>
      <c r="B56" s="133"/>
      <c r="C56" s="133"/>
      <c r="D56" s="133"/>
      <c r="E56" s="132"/>
      <c r="F56" s="10"/>
      <c r="G56" s="10"/>
      <c r="H56" s="8" t="s">
        <v>14</v>
      </c>
      <c r="I56" s="9" t="s">
        <v>14</v>
      </c>
      <c r="J56" s="88" t="s">
        <v>780</v>
      </c>
      <c r="K56" s="8" t="s">
        <v>17</v>
      </c>
      <c r="L56" s="15">
        <v>2</v>
      </c>
      <c r="M56" s="16" t="s">
        <v>90</v>
      </c>
    </row>
    <row r="57" spans="1:13" ht="105" x14ac:dyDescent="0.25">
      <c r="A57" s="94" t="str">
        <f>B55</f>
        <v>MP008</v>
      </c>
      <c r="B57" s="133"/>
      <c r="C57" s="133"/>
      <c r="D57" s="133"/>
      <c r="E57" s="19" t="s">
        <v>22</v>
      </c>
      <c r="F57" s="13" t="str">
        <f>IF(F56="Sim","Nível 2 ou 3","Nível 1")</f>
        <v>Nível 1</v>
      </c>
      <c r="G57" s="13" t="str">
        <f>IF(G56&gt;5,"Nível 2","Nível 3")</f>
        <v>Nível 3</v>
      </c>
      <c r="H57" s="11" t="s">
        <v>14</v>
      </c>
      <c r="I57" s="25" t="str">
        <f>IF(F57="Nível 1",F57,G57)</f>
        <v>Nível 1</v>
      </c>
      <c r="J57" s="88" t="s">
        <v>781</v>
      </c>
      <c r="K57" s="8" t="s">
        <v>18</v>
      </c>
      <c r="L57" s="15">
        <v>3</v>
      </c>
      <c r="M57" s="16" t="s">
        <v>91</v>
      </c>
    </row>
    <row r="58" spans="1:13" x14ac:dyDescent="0.25">
      <c r="A58" s="94"/>
    </row>
    <row r="59" spans="1:13" ht="105" outlineLevel="1" x14ac:dyDescent="0.25">
      <c r="A59" s="94"/>
      <c r="B59" s="133" t="s">
        <v>94</v>
      </c>
      <c r="C59" s="133" t="s">
        <v>3</v>
      </c>
      <c r="D59" s="133" t="s">
        <v>7</v>
      </c>
      <c r="E59" s="16" t="s">
        <v>306</v>
      </c>
      <c r="F59" s="17" t="s">
        <v>8</v>
      </c>
      <c r="G59" s="17" t="s">
        <v>9</v>
      </c>
      <c r="H59" s="17" t="s">
        <v>10</v>
      </c>
      <c r="I59" s="17" t="s">
        <v>40</v>
      </c>
      <c r="J59" s="88" t="s">
        <v>782</v>
      </c>
      <c r="K59" s="8" t="s">
        <v>17</v>
      </c>
      <c r="L59" s="15">
        <v>1</v>
      </c>
      <c r="M59" s="16" t="s">
        <v>21</v>
      </c>
    </row>
    <row r="60" spans="1:13" ht="105" outlineLevel="1" x14ac:dyDescent="0.25">
      <c r="A60" s="94"/>
      <c r="B60" s="133"/>
      <c r="C60" s="133"/>
      <c r="D60" s="133"/>
      <c r="E60" s="20" t="s">
        <v>95</v>
      </c>
      <c r="F60" s="10"/>
      <c r="G60" s="10"/>
      <c r="H60" s="10"/>
      <c r="I60" s="9" t="s">
        <v>14</v>
      </c>
      <c r="J60" s="88" t="s">
        <v>783</v>
      </c>
      <c r="K60" s="8" t="s">
        <v>18</v>
      </c>
      <c r="L60" s="15">
        <v>2</v>
      </c>
      <c r="M60" s="16" t="s">
        <v>20</v>
      </c>
    </row>
    <row r="61" spans="1:13" ht="105" outlineLevel="1" x14ac:dyDescent="0.25">
      <c r="A61" s="94"/>
      <c r="B61" s="133"/>
      <c r="C61" s="133"/>
      <c r="D61" s="133"/>
      <c r="E61" s="21" t="s">
        <v>96</v>
      </c>
      <c r="F61" s="10"/>
      <c r="G61" s="10"/>
      <c r="H61" s="10"/>
      <c r="I61" s="11" t="s">
        <v>14</v>
      </c>
      <c r="J61" s="88" t="s">
        <v>784</v>
      </c>
      <c r="K61" s="8" t="s">
        <v>18</v>
      </c>
      <c r="L61" s="15">
        <v>3</v>
      </c>
      <c r="M61" s="16" t="s">
        <v>26</v>
      </c>
    </row>
    <row r="62" spans="1:13" outlineLevel="1" x14ac:dyDescent="0.25">
      <c r="A62" s="94"/>
      <c r="B62" s="133"/>
      <c r="C62" s="133"/>
      <c r="D62" s="133"/>
      <c r="E62" s="21" t="s">
        <v>98</v>
      </c>
      <c r="F62" s="10"/>
      <c r="G62" s="10"/>
      <c r="H62" s="10"/>
      <c r="I62" s="11" t="s">
        <v>14</v>
      </c>
    </row>
    <row r="63" spans="1:13" outlineLevel="1" x14ac:dyDescent="0.25">
      <c r="A63" s="94"/>
      <c r="B63" s="133"/>
      <c r="C63" s="133"/>
      <c r="D63" s="133"/>
      <c r="E63" s="20" t="s">
        <v>99</v>
      </c>
      <c r="F63" s="10"/>
      <c r="G63" s="10"/>
      <c r="H63" s="10"/>
      <c r="I63" s="9" t="s">
        <v>14</v>
      </c>
      <c r="J63" s="89"/>
      <c r="K63" s="1"/>
      <c r="L63" s="3"/>
      <c r="M63" s="2"/>
    </row>
    <row r="64" spans="1:13" outlineLevel="1" x14ac:dyDescent="0.25">
      <c r="A64" s="94"/>
      <c r="B64" s="133"/>
      <c r="C64" s="133"/>
      <c r="D64" s="133"/>
      <c r="E64" s="20" t="s">
        <v>97</v>
      </c>
      <c r="F64" s="10"/>
      <c r="G64" s="10"/>
      <c r="H64" s="10"/>
      <c r="I64" s="9" t="s">
        <v>14</v>
      </c>
      <c r="J64" s="89"/>
      <c r="K64" s="1"/>
      <c r="L64" s="6"/>
      <c r="M64" s="2"/>
    </row>
    <row r="65" spans="1:13" outlineLevel="1" x14ac:dyDescent="0.25">
      <c r="A65" s="94"/>
      <c r="B65" s="133"/>
      <c r="C65" s="133"/>
      <c r="D65" s="133"/>
      <c r="E65" s="18" t="s">
        <v>24</v>
      </c>
      <c r="F65" s="12">
        <f>COUNTIF(F60:F64,"Sim")</f>
        <v>0</v>
      </c>
      <c r="G65" s="12">
        <f>COUNTIF(G60:G64,"Sim")</f>
        <v>0</v>
      </c>
      <c r="H65" s="12">
        <f>COUNTIF(H60:H64,"Sim")</f>
        <v>0</v>
      </c>
      <c r="I65" s="9" t="s">
        <v>14</v>
      </c>
      <c r="J65" s="89"/>
      <c r="K65" s="1"/>
      <c r="L65" s="3"/>
      <c r="M65" s="2"/>
    </row>
    <row r="66" spans="1:13" x14ac:dyDescent="0.25">
      <c r="A66" s="94" t="str">
        <f>B59</f>
        <v>MP009</v>
      </c>
      <c r="B66" s="133"/>
      <c r="C66" s="133"/>
      <c r="D66" s="133"/>
      <c r="E66" s="19" t="s">
        <v>22</v>
      </c>
      <c r="F66" s="13" t="str">
        <f>IF(F65=5,"Nível 2 ou 3","Nível 1")</f>
        <v>Nível 1</v>
      </c>
      <c r="G66" s="13" t="str">
        <f>IF(SUM(G65:H65)=10,"Nível 3","Nível 2")</f>
        <v>Nível 2</v>
      </c>
      <c r="H66" s="11" t="s">
        <v>14</v>
      </c>
      <c r="I66" s="14" t="str">
        <f>IF(F66="Nível 1",F66,G66)</f>
        <v>Nível 1</v>
      </c>
      <c r="L66" s="6"/>
      <c r="M66" s="2"/>
    </row>
    <row r="67" spans="1:13" x14ac:dyDescent="0.25">
      <c r="A67" s="94"/>
    </row>
    <row r="68" spans="1:13" ht="105" outlineLevel="1" x14ac:dyDescent="0.25">
      <c r="A68" s="94"/>
      <c r="B68" s="133" t="s">
        <v>101</v>
      </c>
      <c r="C68" s="133" t="s">
        <v>3</v>
      </c>
      <c r="D68" s="133" t="s">
        <v>7</v>
      </c>
      <c r="E68" s="16" t="s">
        <v>307</v>
      </c>
      <c r="F68" s="17" t="s">
        <v>107</v>
      </c>
      <c r="G68" s="9" t="s">
        <v>14</v>
      </c>
      <c r="H68" s="9" t="s">
        <v>14</v>
      </c>
      <c r="I68" s="17" t="s">
        <v>40</v>
      </c>
      <c r="J68" s="88" t="s">
        <v>785</v>
      </c>
      <c r="K68" s="8" t="s">
        <v>17</v>
      </c>
      <c r="L68" s="15">
        <v>1</v>
      </c>
      <c r="M68" s="16" t="s">
        <v>105</v>
      </c>
    </row>
    <row r="69" spans="1:13" ht="105" outlineLevel="1" x14ac:dyDescent="0.25">
      <c r="A69" s="94"/>
      <c r="B69" s="133"/>
      <c r="C69" s="133"/>
      <c r="D69" s="133"/>
      <c r="E69" s="20" t="s">
        <v>108</v>
      </c>
      <c r="F69" s="10"/>
      <c r="G69" s="9" t="s">
        <v>14</v>
      </c>
      <c r="H69" s="9" t="s">
        <v>14</v>
      </c>
      <c r="I69" s="9" t="s">
        <v>14</v>
      </c>
      <c r="J69" s="88" t="s">
        <v>786</v>
      </c>
      <c r="K69" s="8" t="s">
        <v>18</v>
      </c>
      <c r="L69" s="15">
        <v>2</v>
      </c>
      <c r="M69" s="16" t="s">
        <v>106</v>
      </c>
    </row>
    <row r="70" spans="1:13" outlineLevel="1" x14ac:dyDescent="0.25">
      <c r="A70" s="94"/>
      <c r="B70" s="133"/>
      <c r="C70" s="133"/>
      <c r="D70" s="133"/>
      <c r="E70" s="21" t="s">
        <v>103</v>
      </c>
      <c r="F70" s="10"/>
      <c r="G70" s="9" t="s">
        <v>14</v>
      </c>
      <c r="H70" s="9" t="s">
        <v>14</v>
      </c>
      <c r="I70" s="11" t="s">
        <v>14</v>
      </c>
      <c r="J70" s="88"/>
    </row>
    <row r="71" spans="1:13" outlineLevel="1" x14ac:dyDescent="0.25">
      <c r="A71" s="94"/>
      <c r="B71" s="133"/>
      <c r="C71" s="133"/>
      <c r="D71" s="133"/>
      <c r="E71" s="21" t="s">
        <v>104</v>
      </c>
      <c r="F71" s="10"/>
      <c r="G71" s="9" t="s">
        <v>14</v>
      </c>
      <c r="H71" s="9" t="s">
        <v>14</v>
      </c>
      <c r="I71" s="11" t="s">
        <v>14</v>
      </c>
    </row>
    <row r="72" spans="1:13" outlineLevel="1" x14ac:dyDescent="0.25">
      <c r="A72" s="94"/>
      <c r="B72" s="133"/>
      <c r="C72" s="133"/>
      <c r="D72" s="133"/>
      <c r="E72" s="18" t="s">
        <v>24</v>
      </c>
      <c r="F72" s="12">
        <f>COUNTIF(F69:F71,"Sim")</f>
        <v>0</v>
      </c>
      <c r="G72" s="12">
        <f>COUNTIF(G69:G71,"Sim")</f>
        <v>0</v>
      </c>
      <c r="H72" s="9" t="s">
        <v>14</v>
      </c>
      <c r="I72" s="9" t="s">
        <v>14</v>
      </c>
      <c r="J72" s="89"/>
      <c r="K72" s="1"/>
      <c r="L72" s="3"/>
      <c r="M72" s="2"/>
    </row>
    <row r="73" spans="1:13" x14ac:dyDescent="0.25">
      <c r="A73" s="94" t="str">
        <f>B68</f>
        <v>MP010</v>
      </c>
      <c r="B73" s="133"/>
      <c r="C73" s="133"/>
      <c r="D73" s="133"/>
      <c r="E73" s="19" t="s">
        <v>22</v>
      </c>
      <c r="F73" s="13" t="str">
        <f>IF(F72=3,"Nível 3","Nível 1 ou 2")</f>
        <v>Nível 1 ou 2</v>
      </c>
      <c r="G73" s="13" t="str">
        <f>IF(SUM(F72)=0,"Nível 1","Nível 2")</f>
        <v>Nível 1</v>
      </c>
      <c r="H73" s="11" t="s">
        <v>14</v>
      </c>
      <c r="I73" s="14" t="str">
        <f>IF(F73="Nível 3",F73,G73)</f>
        <v>Nível 1</v>
      </c>
      <c r="L73" s="6"/>
      <c r="M73" s="2"/>
    </row>
    <row r="74" spans="1:13" x14ac:dyDescent="0.25">
      <c r="A74" s="94"/>
    </row>
    <row r="75" spans="1:13" ht="105" outlineLevel="1" x14ac:dyDescent="0.25">
      <c r="A75" s="94"/>
      <c r="B75" s="133" t="s">
        <v>109</v>
      </c>
      <c r="C75" s="133" t="s">
        <v>3</v>
      </c>
      <c r="D75" s="133" t="s">
        <v>82</v>
      </c>
      <c r="E75" s="131" t="s">
        <v>114</v>
      </c>
      <c r="F75" s="17" t="s">
        <v>115</v>
      </c>
      <c r="G75" s="17" t="s">
        <v>116</v>
      </c>
      <c r="H75" s="17" t="s">
        <v>117</v>
      </c>
      <c r="I75" s="17" t="s">
        <v>40</v>
      </c>
      <c r="J75" s="88" t="s">
        <v>787</v>
      </c>
      <c r="K75" s="8" t="s">
        <v>17</v>
      </c>
      <c r="L75" s="15">
        <v>1</v>
      </c>
      <c r="M75" s="16" t="s">
        <v>111</v>
      </c>
    </row>
    <row r="76" spans="1:13" ht="105" outlineLevel="1" x14ac:dyDescent="0.25">
      <c r="A76" s="94"/>
      <c r="B76" s="133"/>
      <c r="C76" s="133"/>
      <c r="D76" s="133"/>
      <c r="E76" s="132"/>
      <c r="F76" s="10"/>
      <c r="G76" s="10"/>
      <c r="H76" s="10"/>
      <c r="I76" s="9" t="s">
        <v>14</v>
      </c>
      <c r="J76" s="88" t="s">
        <v>788</v>
      </c>
      <c r="K76" s="8" t="s">
        <v>18</v>
      </c>
      <c r="L76" s="15">
        <v>2</v>
      </c>
      <c r="M76" s="16" t="s">
        <v>110</v>
      </c>
    </row>
    <row r="77" spans="1:13" ht="39" customHeight="1" outlineLevel="1" x14ac:dyDescent="0.25">
      <c r="A77" s="94"/>
      <c r="B77" s="133"/>
      <c r="C77" s="133"/>
      <c r="D77" s="133"/>
      <c r="E77" s="20" t="s">
        <v>684</v>
      </c>
      <c r="F77" s="26"/>
      <c r="G77" s="9" t="s">
        <v>14</v>
      </c>
      <c r="H77" s="9" t="s">
        <v>14</v>
      </c>
      <c r="I77" s="11" t="s">
        <v>14</v>
      </c>
      <c r="J77" s="88" t="s">
        <v>789</v>
      </c>
      <c r="K77" s="8" t="s">
        <v>18</v>
      </c>
      <c r="L77" s="15">
        <v>3</v>
      </c>
      <c r="M77" s="16" t="s">
        <v>112</v>
      </c>
    </row>
    <row r="78" spans="1:13" ht="105" outlineLevel="1" x14ac:dyDescent="0.25">
      <c r="A78" s="94"/>
      <c r="B78" s="133"/>
      <c r="C78" s="133"/>
      <c r="D78" s="133"/>
      <c r="E78" s="18" t="s">
        <v>24</v>
      </c>
      <c r="F78" s="9" t="s">
        <v>14</v>
      </c>
      <c r="G78" s="12">
        <f>COUNTIF(G76:H76,"Sim")</f>
        <v>0</v>
      </c>
      <c r="H78" s="9" t="s">
        <v>14</v>
      </c>
      <c r="I78" s="9" t="s">
        <v>14</v>
      </c>
      <c r="J78" s="88" t="s">
        <v>790</v>
      </c>
      <c r="K78" s="8" t="s">
        <v>18</v>
      </c>
      <c r="L78" s="15">
        <v>4</v>
      </c>
      <c r="M78" s="16" t="s">
        <v>113</v>
      </c>
    </row>
    <row r="79" spans="1:13" x14ac:dyDescent="0.25">
      <c r="A79" s="94" t="str">
        <f>B75</f>
        <v>MP011</v>
      </c>
      <c r="B79" s="133"/>
      <c r="C79" s="133"/>
      <c r="D79" s="133"/>
      <c r="E79" s="19" t="s">
        <v>22</v>
      </c>
      <c r="F79" s="13" t="str">
        <f>IF(F76="Não","Nível 1","Nível 2 ou 3")</f>
        <v>Nível 2 ou 3</v>
      </c>
      <c r="G79" s="13" t="str">
        <f>IF(G78=2,"Nível 3","Nível 2")</f>
        <v>Nível 2</v>
      </c>
      <c r="H79" s="13" t="str">
        <f>IF(AND(G78=2,F77&gt;80%),"Nível 3","Nível 2")</f>
        <v>Nível 2</v>
      </c>
      <c r="I79" s="14" t="str">
        <f>IF(F79="Nível 1",F79,H79)</f>
        <v>Nível 2</v>
      </c>
      <c r="J79" s="89"/>
      <c r="K79" s="1"/>
      <c r="L79" s="3"/>
      <c r="M79" s="2"/>
    </row>
    <row r="80" spans="1:13" x14ac:dyDescent="0.25">
      <c r="A80" s="94"/>
    </row>
    <row r="81" spans="1:13" ht="105" outlineLevel="1" x14ac:dyDescent="0.25">
      <c r="A81" s="94"/>
      <c r="B81" s="133" t="s">
        <v>118</v>
      </c>
      <c r="C81" s="133" t="s">
        <v>3</v>
      </c>
      <c r="D81" s="133" t="s">
        <v>51</v>
      </c>
      <c r="E81" s="131" t="s">
        <v>122</v>
      </c>
      <c r="F81" s="17" t="s">
        <v>121</v>
      </c>
      <c r="G81" s="17" t="s">
        <v>123</v>
      </c>
      <c r="H81" s="15" t="s">
        <v>14</v>
      </c>
      <c r="I81" s="17" t="s">
        <v>40</v>
      </c>
      <c r="J81" s="88" t="s">
        <v>791</v>
      </c>
      <c r="K81" s="8" t="s">
        <v>17</v>
      </c>
      <c r="L81" s="15">
        <v>1</v>
      </c>
      <c r="M81" s="16" t="s">
        <v>119</v>
      </c>
    </row>
    <row r="82" spans="1:13" ht="105" outlineLevel="1" x14ac:dyDescent="0.25">
      <c r="A82" s="94"/>
      <c r="B82" s="133"/>
      <c r="C82" s="133"/>
      <c r="D82" s="133"/>
      <c r="E82" s="132"/>
      <c r="F82" s="22"/>
      <c r="G82" s="22"/>
      <c r="H82" s="15" t="s">
        <v>14</v>
      </c>
      <c r="I82" s="8" t="s">
        <v>14</v>
      </c>
      <c r="J82" s="88" t="s">
        <v>792</v>
      </c>
      <c r="K82" s="8" t="s">
        <v>18</v>
      </c>
      <c r="L82" s="15">
        <v>2</v>
      </c>
      <c r="M82" s="16" t="s">
        <v>120</v>
      </c>
    </row>
    <row r="83" spans="1:13" x14ac:dyDescent="0.25">
      <c r="A83" s="94" t="str">
        <f>B81</f>
        <v>MP012</v>
      </c>
      <c r="B83" s="133"/>
      <c r="C83" s="133"/>
      <c r="D83" s="133"/>
      <c r="E83" s="19" t="s">
        <v>22</v>
      </c>
      <c r="F83" s="24" t="str">
        <f>IF(F82="Sim","Nível 2 ou 3","Nível 1")</f>
        <v>Nível 1</v>
      </c>
      <c r="G83" s="24" t="str">
        <f>IF(G82="Sim","Nível 3","Nível 2")</f>
        <v>Nível 2</v>
      </c>
      <c r="H83" s="8" t="s">
        <v>14</v>
      </c>
      <c r="I83" s="25" t="str">
        <f>IF(F83="Nível 1",F83,G83)</f>
        <v>Nível 1</v>
      </c>
    </row>
    <row r="84" spans="1:13" x14ac:dyDescent="0.25">
      <c r="A84" s="94"/>
    </row>
    <row r="85" spans="1:13" ht="105" outlineLevel="1" x14ac:dyDescent="0.25">
      <c r="A85" s="94"/>
      <c r="B85" s="133" t="s">
        <v>124</v>
      </c>
      <c r="C85" s="133" t="s">
        <v>3</v>
      </c>
      <c r="D85" s="133" t="s">
        <v>51</v>
      </c>
      <c r="E85" s="148" t="s">
        <v>127</v>
      </c>
      <c r="F85" s="17" t="s">
        <v>128</v>
      </c>
      <c r="G85" s="17" t="s">
        <v>129</v>
      </c>
      <c r="H85" s="15" t="s">
        <v>14</v>
      </c>
      <c r="I85" s="17" t="s">
        <v>40</v>
      </c>
      <c r="J85" s="88" t="s">
        <v>793</v>
      </c>
      <c r="K85" s="8" t="s">
        <v>17</v>
      </c>
      <c r="L85" s="15">
        <v>1</v>
      </c>
      <c r="M85" s="16" t="s">
        <v>125</v>
      </c>
    </row>
    <row r="86" spans="1:13" ht="105" outlineLevel="1" x14ac:dyDescent="0.25">
      <c r="A86" s="94"/>
      <c r="B86" s="133"/>
      <c r="C86" s="133"/>
      <c r="D86" s="133"/>
      <c r="E86" s="149"/>
      <c r="F86" s="22"/>
      <c r="G86" s="22"/>
      <c r="H86" s="15" t="s">
        <v>14</v>
      </c>
      <c r="I86" s="8" t="s">
        <v>14</v>
      </c>
      <c r="J86" s="88" t="s">
        <v>794</v>
      </c>
      <c r="K86" s="8" t="s">
        <v>18</v>
      </c>
      <c r="L86" s="15">
        <v>2</v>
      </c>
      <c r="M86" s="16" t="s">
        <v>126</v>
      </c>
    </row>
    <row r="87" spans="1:13" x14ac:dyDescent="0.25">
      <c r="A87" s="94" t="str">
        <f>B85</f>
        <v>MP013</v>
      </c>
      <c r="B87" s="133"/>
      <c r="C87" s="133"/>
      <c r="D87" s="133"/>
      <c r="E87" s="19" t="s">
        <v>22</v>
      </c>
      <c r="F87" s="24" t="str">
        <f>IF(F86="Sim","Nível 2 ou 3","Nível 1")</f>
        <v>Nível 1</v>
      </c>
      <c r="G87" s="24" t="str">
        <f>IF(G86="Sim","Nível 3","Nível 2")</f>
        <v>Nível 2</v>
      </c>
      <c r="H87" s="8" t="s">
        <v>14</v>
      </c>
      <c r="I87" s="25" t="str">
        <f>IF(F87="Nível 1",F87,G87)</f>
        <v>Nível 1</v>
      </c>
    </row>
    <row r="88" spans="1:13" x14ac:dyDescent="0.25">
      <c r="A88" s="94"/>
    </row>
    <row r="89" spans="1:13" ht="105" outlineLevel="1" x14ac:dyDescent="0.25">
      <c r="A89" s="94"/>
      <c r="B89" s="133" t="s">
        <v>130</v>
      </c>
      <c r="C89" s="133" t="s">
        <v>3</v>
      </c>
      <c r="D89" s="133" t="s">
        <v>7</v>
      </c>
      <c r="E89" s="16" t="s">
        <v>131</v>
      </c>
      <c r="F89" s="17" t="s">
        <v>136</v>
      </c>
      <c r="G89" s="17" t="s">
        <v>139</v>
      </c>
      <c r="H89" s="9" t="s">
        <v>14</v>
      </c>
      <c r="I89" s="17" t="s">
        <v>40</v>
      </c>
      <c r="J89" s="88" t="s">
        <v>795</v>
      </c>
      <c r="K89" s="8" t="s">
        <v>17</v>
      </c>
      <c r="L89" s="15">
        <v>1</v>
      </c>
      <c r="M89" s="16" t="s">
        <v>137</v>
      </c>
    </row>
    <row r="90" spans="1:13" ht="105" outlineLevel="1" x14ac:dyDescent="0.25">
      <c r="A90" s="94"/>
      <c r="B90" s="133"/>
      <c r="C90" s="133"/>
      <c r="D90" s="133"/>
      <c r="E90" s="20" t="s">
        <v>132</v>
      </c>
      <c r="F90" s="10"/>
      <c r="G90" s="10"/>
      <c r="H90" s="9" t="s">
        <v>14</v>
      </c>
      <c r="I90" s="9" t="s">
        <v>14</v>
      </c>
      <c r="J90" s="88" t="s">
        <v>796</v>
      </c>
      <c r="K90" s="8" t="s">
        <v>18</v>
      </c>
      <c r="L90" s="15">
        <v>2</v>
      </c>
      <c r="M90" s="16" t="s">
        <v>138</v>
      </c>
    </row>
    <row r="91" spans="1:13" ht="32.25" customHeight="1" outlineLevel="1" x14ac:dyDescent="0.25">
      <c r="A91" s="94"/>
      <c r="B91" s="133"/>
      <c r="C91" s="133"/>
      <c r="D91" s="133"/>
      <c r="E91" s="21" t="s">
        <v>133</v>
      </c>
      <c r="F91" s="10"/>
      <c r="G91" s="10"/>
      <c r="H91" s="9" t="s">
        <v>14</v>
      </c>
      <c r="I91" s="11" t="s">
        <v>14</v>
      </c>
    </row>
    <row r="92" spans="1:13" ht="45" outlineLevel="1" x14ac:dyDescent="0.25">
      <c r="A92" s="94"/>
      <c r="B92" s="133"/>
      <c r="C92" s="133"/>
      <c r="D92" s="133"/>
      <c r="E92" s="20" t="s">
        <v>134</v>
      </c>
      <c r="F92" s="10"/>
      <c r="G92" s="10"/>
      <c r="H92" s="9" t="s">
        <v>14</v>
      </c>
      <c r="I92" s="11" t="s">
        <v>14</v>
      </c>
    </row>
    <row r="93" spans="1:13" ht="30" outlineLevel="1" x14ac:dyDescent="0.25">
      <c r="A93" s="94"/>
      <c r="B93" s="133"/>
      <c r="C93" s="133"/>
      <c r="D93" s="133"/>
      <c r="E93" s="20" t="s">
        <v>135</v>
      </c>
      <c r="F93" s="10"/>
      <c r="G93" s="10"/>
      <c r="H93" s="9" t="s">
        <v>14</v>
      </c>
      <c r="I93" s="9" t="s">
        <v>14</v>
      </c>
      <c r="J93" s="89"/>
      <c r="K93" s="1"/>
      <c r="L93" s="3"/>
      <c r="M93" s="2"/>
    </row>
    <row r="94" spans="1:13" outlineLevel="1" x14ac:dyDescent="0.25">
      <c r="A94" s="94"/>
      <c r="B94" s="133"/>
      <c r="C94" s="133"/>
      <c r="D94" s="133"/>
      <c r="E94" s="18" t="s">
        <v>24</v>
      </c>
      <c r="F94" s="12">
        <f>COUNTIF(F90:F93,"Sim")</f>
        <v>0</v>
      </c>
      <c r="G94" s="12">
        <f>COUNTIF(G90:G93,"Sim")</f>
        <v>0</v>
      </c>
      <c r="H94" s="9" t="s">
        <v>14</v>
      </c>
      <c r="I94" s="9" t="s">
        <v>14</v>
      </c>
      <c r="J94" s="89"/>
      <c r="K94" s="1"/>
      <c r="L94" s="3"/>
      <c r="M94" s="2"/>
    </row>
    <row r="95" spans="1:13" x14ac:dyDescent="0.25">
      <c r="A95" s="94" t="str">
        <f>B89</f>
        <v>MP014</v>
      </c>
      <c r="B95" s="133"/>
      <c r="C95" s="133"/>
      <c r="D95" s="133"/>
      <c r="E95" s="19" t="s">
        <v>22</v>
      </c>
      <c r="F95" s="13" t="str">
        <f>IF(F94=4,"Nível 2 ou 3","Nível 1")</f>
        <v>Nível 1</v>
      </c>
      <c r="G95" s="13" t="str">
        <f>IF(SUM(G94)=4,"Nível 3","Nível 2")</f>
        <v>Nível 2</v>
      </c>
      <c r="H95" s="11" t="s">
        <v>14</v>
      </c>
      <c r="I95" s="14" t="str">
        <f>IF(F95="Nível 1",F95,G95)</f>
        <v>Nível 1</v>
      </c>
      <c r="L95" s="6"/>
      <c r="M95" s="2"/>
    </row>
    <row r="96" spans="1:13" x14ac:dyDescent="0.25">
      <c r="A96" s="94"/>
    </row>
    <row r="97" spans="1:13" ht="105" outlineLevel="1" x14ac:dyDescent="0.25">
      <c r="A97" s="94"/>
      <c r="B97" s="133" t="s">
        <v>140</v>
      </c>
      <c r="C97" s="133" t="s">
        <v>3</v>
      </c>
      <c r="D97" s="133" t="s">
        <v>51</v>
      </c>
      <c r="E97" s="148" t="s">
        <v>143</v>
      </c>
      <c r="F97" s="17" t="s">
        <v>144</v>
      </c>
      <c r="G97" s="17" t="s">
        <v>145</v>
      </c>
      <c r="H97" s="15" t="s">
        <v>14</v>
      </c>
      <c r="I97" s="17" t="s">
        <v>40</v>
      </c>
      <c r="J97" s="88" t="s">
        <v>797</v>
      </c>
      <c r="K97" s="8" t="s">
        <v>17</v>
      </c>
      <c r="L97" s="15">
        <v>1</v>
      </c>
      <c r="M97" s="16" t="s">
        <v>141</v>
      </c>
    </row>
    <row r="98" spans="1:13" ht="105" outlineLevel="1" x14ac:dyDescent="0.25">
      <c r="A98" s="94"/>
      <c r="B98" s="133"/>
      <c r="C98" s="133"/>
      <c r="D98" s="133"/>
      <c r="E98" s="149"/>
      <c r="F98" s="22"/>
      <c r="G98" s="22"/>
      <c r="H98" s="15" t="s">
        <v>14</v>
      </c>
      <c r="I98" s="8" t="s">
        <v>14</v>
      </c>
      <c r="J98" s="88" t="s">
        <v>798</v>
      </c>
      <c r="K98" s="8" t="s">
        <v>18</v>
      </c>
      <c r="L98" s="15">
        <v>2</v>
      </c>
      <c r="M98" s="16" t="s">
        <v>142</v>
      </c>
    </row>
    <row r="99" spans="1:13" x14ac:dyDescent="0.25">
      <c r="A99" s="94" t="str">
        <f>B97</f>
        <v>MP015</v>
      </c>
      <c r="B99" s="133"/>
      <c r="C99" s="133"/>
      <c r="D99" s="133"/>
      <c r="E99" s="19" t="s">
        <v>22</v>
      </c>
      <c r="F99" s="24" t="str">
        <f>IF(F98="Sim","Nível 2 ou 3","Nível 1")</f>
        <v>Nível 1</v>
      </c>
      <c r="G99" s="24" t="str">
        <f>IF(G98="Sim","Nível 3","Nível 2")</f>
        <v>Nível 2</v>
      </c>
      <c r="H99" s="8" t="s">
        <v>14</v>
      </c>
      <c r="I99" s="25" t="str">
        <f>IF(F99="Nível 1",F99,G99)</f>
        <v>Nível 1</v>
      </c>
    </row>
    <row r="100" spans="1:13" x14ac:dyDescent="0.25">
      <c r="A100" s="94"/>
    </row>
    <row r="101" spans="1:13" ht="135" outlineLevel="1" x14ac:dyDescent="0.25">
      <c r="A101" s="94"/>
      <c r="B101" s="133" t="s">
        <v>146</v>
      </c>
      <c r="C101" s="133" t="s">
        <v>3</v>
      </c>
      <c r="D101" s="133" t="s">
        <v>51</v>
      </c>
      <c r="E101" s="148" t="s">
        <v>147</v>
      </c>
      <c r="F101" s="17" t="s">
        <v>150</v>
      </c>
      <c r="G101" s="17" t="s">
        <v>151</v>
      </c>
      <c r="H101" s="15" t="s">
        <v>14</v>
      </c>
      <c r="I101" s="17" t="s">
        <v>40</v>
      </c>
      <c r="J101" s="88" t="s">
        <v>799</v>
      </c>
      <c r="K101" s="8" t="s">
        <v>17</v>
      </c>
      <c r="L101" s="15">
        <v>1</v>
      </c>
      <c r="M101" s="16" t="s">
        <v>148</v>
      </c>
    </row>
    <row r="102" spans="1:13" ht="105" outlineLevel="1" x14ac:dyDescent="0.25">
      <c r="A102" s="94"/>
      <c r="B102" s="133"/>
      <c r="C102" s="133"/>
      <c r="D102" s="133"/>
      <c r="E102" s="149"/>
      <c r="F102" s="22"/>
      <c r="G102" s="22"/>
      <c r="H102" s="15" t="s">
        <v>14</v>
      </c>
      <c r="I102" s="8" t="s">
        <v>14</v>
      </c>
      <c r="J102" s="88" t="s">
        <v>800</v>
      </c>
      <c r="K102" s="8" t="s">
        <v>18</v>
      </c>
      <c r="L102" s="15">
        <v>2</v>
      </c>
      <c r="M102" s="16" t="s">
        <v>149</v>
      </c>
    </row>
    <row r="103" spans="1:13" x14ac:dyDescent="0.25">
      <c r="A103" s="94" t="str">
        <f>B101</f>
        <v>MP016</v>
      </c>
      <c r="B103" s="133"/>
      <c r="C103" s="133"/>
      <c r="D103" s="133"/>
      <c r="E103" s="19" t="s">
        <v>22</v>
      </c>
      <c r="F103" s="24" t="str">
        <f>IF(F102="Sim","Nível 2 ou 3","Nível 1")</f>
        <v>Nível 1</v>
      </c>
      <c r="G103" s="24" t="str">
        <f>IF(G102="Sim","Nível 3","Nível 2")</f>
        <v>Nível 2</v>
      </c>
      <c r="H103" s="8" t="s">
        <v>14</v>
      </c>
      <c r="I103" s="25" t="str">
        <f>IF(F103="Nível 1",F103,G103)</f>
        <v>Nível 1</v>
      </c>
    </row>
  </sheetData>
  <mergeCells count="61">
    <mergeCell ref="B97:B99"/>
    <mergeCell ref="C97:C99"/>
    <mergeCell ref="D97:D99"/>
    <mergeCell ref="E97:E98"/>
    <mergeCell ref="B101:B103"/>
    <mergeCell ref="C101:C103"/>
    <mergeCell ref="D101:D103"/>
    <mergeCell ref="E101:E102"/>
    <mergeCell ref="B85:B87"/>
    <mergeCell ref="C85:C87"/>
    <mergeCell ref="D85:D87"/>
    <mergeCell ref="E85:E86"/>
    <mergeCell ref="B89:B95"/>
    <mergeCell ref="C89:C95"/>
    <mergeCell ref="D89:D95"/>
    <mergeCell ref="F2:H2"/>
    <mergeCell ref="B19:B25"/>
    <mergeCell ref="C19:C25"/>
    <mergeCell ref="D19:D25"/>
    <mergeCell ref="E4:E6"/>
    <mergeCell ref="F8:H8"/>
    <mergeCell ref="B9:B17"/>
    <mergeCell ref="C9:C17"/>
    <mergeCell ref="D9:D17"/>
    <mergeCell ref="G4:G6"/>
    <mergeCell ref="H4:H6"/>
    <mergeCell ref="B27:B32"/>
    <mergeCell ref="C27:C32"/>
    <mergeCell ref="D27:D32"/>
    <mergeCell ref="D34:D36"/>
    <mergeCell ref="C34:C36"/>
    <mergeCell ref="B34:B36"/>
    <mergeCell ref="B81:B83"/>
    <mergeCell ref="C81:C83"/>
    <mergeCell ref="D81:D83"/>
    <mergeCell ref="E81:E82"/>
    <mergeCell ref="E55:E56"/>
    <mergeCell ref="B59:B66"/>
    <mergeCell ref="C59:C66"/>
    <mergeCell ref="D59:D66"/>
    <mergeCell ref="B68:B73"/>
    <mergeCell ref="C68:C73"/>
    <mergeCell ref="D68:D73"/>
    <mergeCell ref="B55:B57"/>
    <mergeCell ref="C55:C57"/>
    <mergeCell ref="D55:D57"/>
    <mergeCell ref="E34:E35"/>
    <mergeCell ref="E38:E39"/>
    <mergeCell ref="B75:B79"/>
    <mergeCell ref="C75:C79"/>
    <mergeCell ref="D75:D79"/>
    <mergeCell ref="E75:E76"/>
    <mergeCell ref="B51:B53"/>
    <mergeCell ref="C51:C53"/>
    <mergeCell ref="D51:D53"/>
    <mergeCell ref="B38:B40"/>
    <mergeCell ref="C38:C40"/>
    <mergeCell ref="D38:D40"/>
    <mergeCell ref="B42:B49"/>
    <mergeCell ref="C42:C49"/>
    <mergeCell ref="D42:D49"/>
  </mergeCells>
  <pageMargins left="0.23622047244094491" right="0.23622047244094491" top="0.74803149606299213" bottom="0.74803149606299213" header="0.31496062992125984" footer="0.31496062992125984"/>
  <pageSetup paperSize="9" scale="49" orientation="landscape" r:id="rId1"/>
  <rowBreaks count="2" manualBreakCount="2">
    <brk id="26" max="12" man="1"/>
    <brk id="96" max="12"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3"/>
  <sheetViews>
    <sheetView showGridLines="0" zoomScale="80" zoomScaleNormal="80" workbookViewId="0">
      <pane ySplit="8" topLeftCell="A9" activePane="bottomLeft" state="frozen"/>
      <selection activeCell="E59" sqref="E59"/>
      <selection pane="bottomLeft" activeCell="A9" sqref="A9"/>
    </sheetView>
  </sheetViews>
  <sheetFormatPr defaultRowHeight="15" outlineLevelRow="1" outlineLevelCol="1" x14ac:dyDescent="0.25"/>
  <cols>
    <col min="1" max="1" width="1.42578125" customWidth="1"/>
    <col min="2" max="2" width="10.5703125" bestFit="1" customWidth="1"/>
    <col min="3" max="3" width="14.85546875" bestFit="1" customWidth="1"/>
    <col min="4" max="4" width="15.5703125" bestFit="1" customWidth="1"/>
    <col min="5" max="5" width="68.42578125" customWidth="1" outlineLevel="1"/>
    <col min="6" max="8" width="20.28515625" customWidth="1" outlineLevel="1"/>
    <col min="9" max="9" width="19" customWidth="1"/>
    <col min="10" max="10" width="1.42578125" style="94" customWidth="1"/>
    <col min="11" max="11" width="8.42578125" customWidth="1" outlineLevel="1"/>
    <col min="12" max="12" width="9.7109375" bestFit="1" customWidth="1" outlineLevel="1"/>
    <col min="13" max="13" width="63" customWidth="1" outlineLevel="1"/>
  </cols>
  <sheetData>
    <row r="1" spans="1:13" x14ac:dyDescent="0.25">
      <c r="A1" s="4" t="s">
        <v>154</v>
      </c>
      <c r="F1" s="3"/>
      <c r="G1" s="3"/>
      <c r="H1" s="3"/>
    </row>
    <row r="2" spans="1:13" x14ac:dyDescent="0.25">
      <c r="A2" s="32" t="s">
        <v>297</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102</v>
      </c>
      <c r="G6" s="144"/>
      <c r="H6" s="147"/>
    </row>
    <row r="8" spans="1:13" s="113" customFormat="1" ht="41.25" customHeight="1" x14ac:dyDescent="0.25">
      <c r="B8" s="114" t="s">
        <v>0</v>
      </c>
      <c r="C8" s="114" t="s">
        <v>2</v>
      </c>
      <c r="D8" s="114" t="s">
        <v>6</v>
      </c>
      <c r="E8" s="114" t="s">
        <v>11</v>
      </c>
      <c r="F8" s="141" t="s">
        <v>12</v>
      </c>
      <c r="G8" s="141"/>
      <c r="H8" s="141"/>
      <c r="I8" s="115" t="s">
        <v>13</v>
      </c>
      <c r="J8" s="111"/>
      <c r="K8" s="115" t="s">
        <v>19</v>
      </c>
      <c r="L8" s="114" t="s">
        <v>4</v>
      </c>
      <c r="M8" s="114" t="s">
        <v>25</v>
      </c>
    </row>
    <row r="9" spans="1:13" ht="105" outlineLevel="1" x14ac:dyDescent="0.25">
      <c r="B9" s="133" t="s">
        <v>298</v>
      </c>
      <c r="C9" s="133" t="s">
        <v>299</v>
      </c>
      <c r="D9" s="133" t="s">
        <v>7</v>
      </c>
      <c r="E9" s="16" t="s">
        <v>302</v>
      </c>
      <c r="F9" s="46" t="s">
        <v>518</v>
      </c>
      <c r="G9" s="17" t="s">
        <v>9</v>
      </c>
      <c r="H9" s="17" t="s">
        <v>10</v>
      </c>
      <c r="I9" s="17" t="s">
        <v>40</v>
      </c>
      <c r="J9" s="106" t="s">
        <v>801</v>
      </c>
      <c r="K9" s="8" t="s">
        <v>17</v>
      </c>
      <c r="L9" s="15">
        <v>1</v>
      </c>
      <c r="M9" s="16" t="s">
        <v>21</v>
      </c>
    </row>
    <row r="10" spans="1:13" ht="105" outlineLevel="1" x14ac:dyDescent="0.25">
      <c r="B10" s="133"/>
      <c r="C10" s="133"/>
      <c r="D10" s="133"/>
      <c r="E10" s="20" t="s">
        <v>300</v>
      </c>
      <c r="F10" s="10"/>
      <c r="G10" s="10"/>
      <c r="H10" s="10"/>
      <c r="I10" s="9" t="s">
        <v>14</v>
      </c>
      <c r="J10" s="106" t="s">
        <v>802</v>
      </c>
      <c r="K10" s="8" t="s">
        <v>18</v>
      </c>
      <c r="L10" s="15">
        <v>2</v>
      </c>
      <c r="M10" s="16" t="s">
        <v>20</v>
      </c>
    </row>
    <row r="11" spans="1:13" ht="32.25" customHeight="1" outlineLevel="1" x14ac:dyDescent="0.25">
      <c r="B11" s="133"/>
      <c r="C11" s="133"/>
      <c r="D11" s="133"/>
      <c r="E11" s="21" t="s">
        <v>301</v>
      </c>
      <c r="F11" s="10"/>
      <c r="G11" s="10"/>
      <c r="H11" s="10"/>
      <c r="I11" s="11" t="s">
        <v>14</v>
      </c>
      <c r="J11" s="106" t="s">
        <v>803</v>
      </c>
      <c r="K11" s="8" t="s">
        <v>18</v>
      </c>
      <c r="L11" s="15">
        <v>3</v>
      </c>
      <c r="M11" s="16" t="s">
        <v>26</v>
      </c>
    </row>
    <row r="12" spans="1:13" outlineLevel="1" x14ac:dyDescent="0.25">
      <c r="B12" s="133"/>
      <c r="C12" s="133"/>
      <c r="D12" s="133"/>
      <c r="E12" s="18" t="s">
        <v>24</v>
      </c>
      <c r="F12" s="12">
        <f>COUNTIF(F10:F11,"Sim")</f>
        <v>0</v>
      </c>
      <c r="G12" s="12">
        <f>COUNTIF(G10:G11,"Sim")</f>
        <v>0</v>
      </c>
      <c r="H12" s="12">
        <f>COUNTIF(H10:H11,"Sim")</f>
        <v>0</v>
      </c>
      <c r="I12" s="9" t="s">
        <v>14</v>
      </c>
      <c r="J12" s="107"/>
      <c r="K12" s="1"/>
      <c r="L12" s="3"/>
      <c r="M12" s="2"/>
    </row>
    <row r="13" spans="1:13" x14ac:dyDescent="0.25">
      <c r="A13" t="str">
        <f>B9</f>
        <v>MP017</v>
      </c>
      <c r="B13" s="133"/>
      <c r="C13" s="133"/>
      <c r="D13" s="133"/>
      <c r="E13" s="19" t="s">
        <v>22</v>
      </c>
      <c r="F13" s="13" t="str">
        <f>IF(F12=2,"Nível 2 ou 3","Nível 1")</f>
        <v>Nível 1</v>
      </c>
      <c r="G13" s="13" t="str">
        <f>IF(SUM(G12:H12)=4,"Nível 3","Nível 2")</f>
        <v>Nível 2</v>
      </c>
      <c r="H13" s="11" t="s">
        <v>14</v>
      </c>
      <c r="I13" s="14" t="str">
        <f>IF(F13="Nível 1",F13,G13)</f>
        <v>Nível 1</v>
      </c>
      <c r="L13" s="6"/>
      <c r="M13" s="2"/>
    </row>
    <row r="15" spans="1:13" ht="105" outlineLevel="1" x14ac:dyDescent="0.25">
      <c r="B15" s="133" t="s">
        <v>308</v>
      </c>
      <c r="C15" s="133" t="s">
        <v>299</v>
      </c>
      <c r="D15" s="133" t="s">
        <v>41</v>
      </c>
      <c r="E15" s="16" t="s">
        <v>303</v>
      </c>
      <c r="F15" s="17" t="s">
        <v>43</v>
      </c>
      <c r="G15" s="17" t="s">
        <v>48</v>
      </c>
      <c r="H15" s="8" t="s">
        <v>14</v>
      </c>
      <c r="I15" s="17" t="s">
        <v>40</v>
      </c>
      <c r="J15" s="106" t="s">
        <v>804</v>
      </c>
      <c r="K15" s="8" t="s">
        <v>17</v>
      </c>
      <c r="L15" s="15">
        <v>1</v>
      </c>
      <c r="M15" s="16" t="s">
        <v>311</v>
      </c>
    </row>
    <row r="16" spans="1:13" outlineLevel="1" x14ac:dyDescent="0.25">
      <c r="B16" s="133"/>
      <c r="C16" s="133"/>
      <c r="D16" s="133"/>
      <c r="E16" s="20" t="s">
        <v>309</v>
      </c>
      <c r="F16" s="22"/>
      <c r="G16" s="22"/>
      <c r="H16" s="15" t="s">
        <v>14</v>
      </c>
      <c r="I16" s="15" t="s">
        <v>14</v>
      </c>
    </row>
    <row r="17" spans="1:13" outlineLevel="1" x14ac:dyDescent="0.25">
      <c r="B17" s="133"/>
      <c r="C17" s="133"/>
      <c r="D17" s="133"/>
      <c r="E17" s="21" t="s">
        <v>310</v>
      </c>
      <c r="F17" s="22"/>
      <c r="G17" s="22"/>
      <c r="H17" s="15" t="s">
        <v>14</v>
      </c>
      <c r="I17" s="15" t="s">
        <v>14</v>
      </c>
    </row>
    <row r="18" spans="1:13" outlineLevel="1" x14ac:dyDescent="0.25">
      <c r="B18" s="133"/>
      <c r="C18" s="133"/>
      <c r="D18" s="133"/>
      <c r="E18" s="18" t="s">
        <v>24</v>
      </c>
      <c r="F18" s="23">
        <f>COUNTIF(F16:F17,"Sim")</f>
        <v>0</v>
      </c>
      <c r="G18" s="23">
        <f>COUNTIF(G16:G17,"Sim")</f>
        <v>0</v>
      </c>
      <c r="H18" s="8" t="s">
        <v>14</v>
      </c>
      <c r="I18" s="8" t="s">
        <v>14</v>
      </c>
    </row>
    <row r="19" spans="1:13" x14ac:dyDescent="0.25">
      <c r="A19" t="str">
        <f>B15</f>
        <v>MP018</v>
      </c>
      <c r="B19" s="133"/>
      <c r="C19" s="133"/>
      <c r="D19" s="133"/>
      <c r="E19" s="19" t="s">
        <v>22</v>
      </c>
      <c r="F19" s="24" t="str">
        <f>IF(F18=2,"Nível 2 ou 3","Nível 1")</f>
        <v>Nível 1</v>
      </c>
      <c r="G19" s="24" t="str">
        <f>IF(SUM(G18)=2,"Nível 3","Nível 1")</f>
        <v>Nível 1</v>
      </c>
      <c r="H19" s="8" t="s">
        <v>14</v>
      </c>
      <c r="I19" s="25" t="str">
        <f>IF(F19="Nível 1",F19,G19)</f>
        <v>Nível 1</v>
      </c>
    </row>
    <row r="21" spans="1:13" ht="105" outlineLevel="1" x14ac:dyDescent="0.25">
      <c r="B21" s="133" t="s">
        <v>312</v>
      </c>
      <c r="C21" s="133" t="s">
        <v>299</v>
      </c>
      <c r="D21" s="133" t="s">
        <v>51</v>
      </c>
      <c r="E21" s="131" t="s">
        <v>313</v>
      </c>
      <c r="F21" s="17" t="s">
        <v>314</v>
      </c>
      <c r="G21" s="17" t="s">
        <v>315</v>
      </c>
      <c r="H21" s="15" t="s">
        <v>14</v>
      </c>
      <c r="I21" s="17" t="s">
        <v>40</v>
      </c>
      <c r="J21" s="106" t="s">
        <v>805</v>
      </c>
      <c r="K21" s="8" t="s">
        <v>17</v>
      </c>
      <c r="L21" s="15">
        <v>1</v>
      </c>
      <c r="M21" s="16" t="s">
        <v>316</v>
      </c>
    </row>
    <row r="22" spans="1:13" ht="105" outlineLevel="1" x14ac:dyDescent="0.25">
      <c r="B22" s="133"/>
      <c r="C22" s="133"/>
      <c r="D22" s="133"/>
      <c r="E22" s="132"/>
      <c r="F22" s="22"/>
      <c r="G22" s="22"/>
      <c r="H22" s="15" t="s">
        <v>14</v>
      </c>
      <c r="I22" s="8" t="s">
        <v>14</v>
      </c>
      <c r="J22" s="106" t="s">
        <v>806</v>
      </c>
      <c r="K22" s="8" t="s">
        <v>18</v>
      </c>
      <c r="L22" s="15">
        <v>2</v>
      </c>
      <c r="M22" s="16" t="s">
        <v>317</v>
      </c>
    </row>
    <row r="23" spans="1:13" ht="105" outlineLevel="1" x14ac:dyDescent="0.25">
      <c r="B23" s="133"/>
      <c r="C23" s="133"/>
      <c r="D23" s="133"/>
      <c r="E23" s="18" t="s">
        <v>24</v>
      </c>
      <c r="F23" s="23">
        <f>COUNTIF(F22:F22,"Sim")</f>
        <v>0</v>
      </c>
      <c r="G23" s="23">
        <f>COUNTIF(G22:G22,"Sim")</f>
        <v>0</v>
      </c>
      <c r="H23" s="8" t="s">
        <v>14</v>
      </c>
      <c r="I23" s="8" t="s">
        <v>14</v>
      </c>
      <c r="J23" s="106" t="s">
        <v>807</v>
      </c>
      <c r="K23" s="8" t="s">
        <v>18</v>
      </c>
      <c r="L23" s="15">
        <v>3</v>
      </c>
      <c r="M23" s="16" t="s">
        <v>318</v>
      </c>
    </row>
    <row r="24" spans="1:13" x14ac:dyDescent="0.25">
      <c r="A24" t="str">
        <f>B21</f>
        <v>MP019</v>
      </c>
      <c r="B24" s="133"/>
      <c r="C24" s="133"/>
      <c r="D24" s="133"/>
      <c r="E24" s="19" t="s">
        <v>22</v>
      </c>
      <c r="F24" s="24" t="str">
        <f>IF(F23=1,"Nível 2 ou 3","Nível 1")</f>
        <v>Nível 1</v>
      </c>
      <c r="G24" s="24" t="str">
        <f>IF(SUM(G23)=1,"Nível 3","Nível 2")</f>
        <v>Nível 2</v>
      </c>
      <c r="H24" s="8" t="s">
        <v>14</v>
      </c>
      <c r="I24" s="25" t="str">
        <f>IF(F24="Nível 1",F24,G24)</f>
        <v>Nível 1</v>
      </c>
    </row>
    <row r="26" spans="1:13" ht="105" outlineLevel="1" x14ac:dyDescent="0.25">
      <c r="B26" s="133" t="s">
        <v>319</v>
      </c>
      <c r="C26" s="133" t="s">
        <v>299</v>
      </c>
      <c r="D26" s="133" t="s">
        <v>7</v>
      </c>
      <c r="E26" s="131" t="s">
        <v>321</v>
      </c>
      <c r="F26" s="17" t="s">
        <v>322</v>
      </c>
      <c r="G26" s="8" t="s">
        <v>14</v>
      </c>
      <c r="H26" s="8" t="s">
        <v>14</v>
      </c>
      <c r="I26" s="17" t="s">
        <v>40</v>
      </c>
      <c r="J26" s="106" t="s">
        <v>808</v>
      </c>
      <c r="K26" s="8" t="s">
        <v>17</v>
      </c>
      <c r="L26" s="15">
        <v>1</v>
      </c>
      <c r="M26" s="16" t="s">
        <v>320</v>
      </c>
    </row>
    <row r="27" spans="1:13" outlineLevel="1" x14ac:dyDescent="0.25">
      <c r="B27" s="133"/>
      <c r="C27" s="133"/>
      <c r="D27" s="133"/>
      <c r="E27" s="132"/>
      <c r="F27" s="10"/>
      <c r="G27" s="8" t="s">
        <v>14</v>
      </c>
      <c r="H27" s="8" t="s">
        <v>14</v>
      </c>
      <c r="I27" s="9" t="s">
        <v>14</v>
      </c>
      <c r="J27" s="107"/>
    </row>
    <row r="28" spans="1:13" outlineLevel="1" x14ac:dyDescent="0.25">
      <c r="B28" s="133"/>
      <c r="C28" s="133"/>
      <c r="D28" s="133"/>
      <c r="E28" s="18" t="s">
        <v>24</v>
      </c>
      <c r="F28" s="12">
        <f>COUNTIF(F27:F27,"Sim")</f>
        <v>0</v>
      </c>
      <c r="G28" s="8" t="s">
        <v>14</v>
      </c>
      <c r="H28" s="8" t="s">
        <v>14</v>
      </c>
      <c r="I28" s="9" t="s">
        <v>14</v>
      </c>
      <c r="J28" s="107"/>
      <c r="K28" s="1"/>
      <c r="L28" s="3"/>
      <c r="M28" s="2"/>
    </row>
    <row r="29" spans="1:13" x14ac:dyDescent="0.25">
      <c r="A29" t="str">
        <f>B26</f>
        <v>MP020</v>
      </c>
      <c r="B29" s="133"/>
      <c r="C29" s="133"/>
      <c r="D29" s="133"/>
      <c r="E29" s="19" t="s">
        <v>22</v>
      </c>
      <c r="F29" s="13" t="str">
        <f>IF(F28=1,"Nível 3","Nível 1")</f>
        <v>Nível 1</v>
      </c>
      <c r="G29" s="8" t="s">
        <v>14</v>
      </c>
      <c r="H29" s="11" t="s">
        <v>14</v>
      </c>
      <c r="I29" s="14" t="str">
        <f>F29</f>
        <v>Nível 1</v>
      </c>
      <c r="L29" s="6"/>
      <c r="M29" s="2"/>
    </row>
    <row r="31" spans="1:13" ht="105" outlineLevel="1" x14ac:dyDescent="0.25">
      <c r="B31" s="133" t="s">
        <v>323</v>
      </c>
      <c r="C31" s="133" t="s">
        <v>299</v>
      </c>
      <c r="D31" s="133" t="s">
        <v>51</v>
      </c>
      <c r="E31" s="131" t="s">
        <v>324</v>
      </c>
      <c r="F31" s="17" t="s">
        <v>326</v>
      </c>
      <c r="G31" s="8" t="s">
        <v>14</v>
      </c>
      <c r="H31" s="8" t="s">
        <v>14</v>
      </c>
      <c r="I31" s="17" t="s">
        <v>40</v>
      </c>
      <c r="J31" s="106" t="s">
        <v>809</v>
      </c>
      <c r="K31" s="8" t="s">
        <v>17</v>
      </c>
      <c r="L31" s="15">
        <v>1</v>
      </c>
      <c r="M31" s="16" t="s">
        <v>325</v>
      </c>
    </row>
    <row r="32" spans="1:13" outlineLevel="1" x14ac:dyDescent="0.25">
      <c r="B32" s="133"/>
      <c r="C32" s="133"/>
      <c r="D32" s="133"/>
      <c r="E32" s="132"/>
      <c r="F32" s="27"/>
      <c r="G32" s="8" t="s">
        <v>14</v>
      </c>
      <c r="H32" s="8" t="s">
        <v>14</v>
      </c>
      <c r="I32" s="9" t="s">
        <v>14</v>
      </c>
      <c r="J32" s="107"/>
    </row>
    <row r="33" spans="1:13" x14ac:dyDescent="0.25">
      <c r="A33" t="str">
        <f>B31</f>
        <v>MP021</v>
      </c>
      <c r="B33" s="133"/>
      <c r="C33" s="133"/>
      <c r="D33" s="133"/>
      <c r="E33" s="19" t="s">
        <v>22</v>
      </c>
      <c r="F33" s="13" t="str">
        <f>IF(F32="Sim","Nível 3","Nível 1")</f>
        <v>Nível 1</v>
      </c>
      <c r="G33" s="8" t="s">
        <v>14</v>
      </c>
      <c r="H33" s="11" t="s">
        <v>14</v>
      </c>
      <c r="I33" s="14" t="str">
        <f>F33</f>
        <v>Nível 1</v>
      </c>
      <c r="L33" s="6"/>
      <c r="M33" s="2"/>
    </row>
  </sheetData>
  <mergeCells count="23">
    <mergeCell ref="B9:B13"/>
    <mergeCell ref="C9:C13"/>
    <mergeCell ref="D9:D13"/>
    <mergeCell ref="E26:E27"/>
    <mergeCell ref="E31:E32"/>
    <mergeCell ref="B15:B19"/>
    <mergeCell ref="C15:C19"/>
    <mergeCell ref="D15:D19"/>
    <mergeCell ref="B21:B24"/>
    <mergeCell ref="C21:C24"/>
    <mergeCell ref="D21:D24"/>
    <mergeCell ref="B26:B29"/>
    <mergeCell ref="C26:C29"/>
    <mergeCell ref="D26:D29"/>
    <mergeCell ref="B31:B33"/>
    <mergeCell ref="C31:C33"/>
    <mergeCell ref="D31:D33"/>
    <mergeCell ref="E21:E22"/>
    <mergeCell ref="F2:H2"/>
    <mergeCell ref="E4:E6"/>
    <mergeCell ref="G4:G6"/>
    <mergeCell ref="H4:H6"/>
    <mergeCell ref="F8:H8"/>
  </mergeCells>
  <pageMargins left="0.23622047244094491" right="0.23622047244094491" top="0.74803149606299213" bottom="0.74803149606299213" header="0.31496062992125984" footer="0.31496062992125984"/>
  <pageSetup paperSize="9" scale="51"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7"/>
  <sheetViews>
    <sheetView showGridLines="0" zoomScale="80" zoomScaleNormal="80" workbookViewId="0">
      <pane ySplit="8" topLeftCell="A9" activePane="bottomLeft" state="frozen"/>
      <selection activeCell="E59" sqref="E59"/>
      <selection pane="bottomLeft" activeCell="A9" sqref="A9"/>
    </sheetView>
  </sheetViews>
  <sheetFormatPr defaultRowHeight="15" outlineLevelRow="1" outlineLevelCol="1" x14ac:dyDescent="0.25"/>
  <cols>
    <col min="1" max="1" width="1.42578125" customWidth="1"/>
    <col min="2" max="2" width="10.5703125" bestFit="1" customWidth="1"/>
    <col min="3" max="3" width="14" bestFit="1" customWidth="1"/>
    <col min="4" max="4" width="17.28515625" bestFit="1" customWidth="1"/>
    <col min="5" max="5" width="68.42578125" customWidth="1" outlineLevel="1"/>
    <col min="6" max="8" width="16.7109375" customWidth="1" outlineLevel="1"/>
    <col min="9" max="9" width="19" customWidth="1"/>
    <col min="10" max="10" width="1.28515625" style="87" customWidth="1"/>
    <col min="11" max="11" width="8.42578125" customWidth="1" outlineLevel="1"/>
    <col min="12" max="12" width="10.140625" customWidth="1" outlineLevel="1"/>
    <col min="13" max="13" width="82.5703125" customWidth="1" outlineLevel="1"/>
  </cols>
  <sheetData>
    <row r="1" spans="1:13" x14ac:dyDescent="0.25">
      <c r="A1" s="4" t="s">
        <v>154</v>
      </c>
      <c r="F1" s="3"/>
      <c r="G1" s="3"/>
      <c r="H1" s="3"/>
    </row>
    <row r="2" spans="1:13" x14ac:dyDescent="0.25">
      <c r="A2" s="32" t="s">
        <v>155</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102</v>
      </c>
      <c r="G6" s="144"/>
      <c r="H6" s="147"/>
    </row>
    <row r="7" spans="1:13" ht="6" customHeight="1" x14ac:dyDescent="0.25"/>
    <row r="8" spans="1:13" s="113" customFormat="1" ht="37.5" customHeight="1" x14ac:dyDescent="0.25">
      <c r="B8" s="114" t="s">
        <v>0</v>
      </c>
      <c r="C8" s="114" t="s">
        <v>2</v>
      </c>
      <c r="D8" s="114" t="s">
        <v>6</v>
      </c>
      <c r="E8" s="114" t="s">
        <v>11</v>
      </c>
      <c r="F8" s="141" t="s">
        <v>12</v>
      </c>
      <c r="G8" s="141"/>
      <c r="H8" s="141"/>
      <c r="I8" s="115" t="s">
        <v>13</v>
      </c>
      <c r="J8" s="111"/>
      <c r="K8" s="115" t="s">
        <v>19</v>
      </c>
      <c r="L8" s="114" t="s">
        <v>4</v>
      </c>
      <c r="M8" s="114" t="s">
        <v>25</v>
      </c>
    </row>
    <row r="9" spans="1:13" ht="105" outlineLevel="1" x14ac:dyDescent="0.25">
      <c r="B9" s="133" t="s">
        <v>156</v>
      </c>
      <c r="C9" s="125" t="s">
        <v>157</v>
      </c>
      <c r="D9" s="133" t="s">
        <v>7</v>
      </c>
      <c r="E9" s="16" t="s">
        <v>327</v>
      </c>
      <c r="F9" s="46" t="s">
        <v>518</v>
      </c>
      <c r="G9" s="17" t="s">
        <v>9</v>
      </c>
      <c r="H9" s="17" t="s">
        <v>10</v>
      </c>
      <c r="I9" s="17" t="s">
        <v>40</v>
      </c>
      <c r="J9" s="88" t="s">
        <v>810</v>
      </c>
      <c r="K9" s="15" t="s">
        <v>17</v>
      </c>
      <c r="L9" s="15">
        <v>1</v>
      </c>
      <c r="M9" s="16" t="s">
        <v>158</v>
      </c>
    </row>
    <row r="10" spans="1:13" ht="105" outlineLevel="1" x14ac:dyDescent="0.25">
      <c r="B10" s="133"/>
      <c r="C10" s="125"/>
      <c r="D10" s="133"/>
      <c r="E10" s="20" t="s">
        <v>159</v>
      </c>
      <c r="F10" s="10"/>
      <c r="G10" s="10"/>
      <c r="H10" s="10"/>
      <c r="I10" s="9" t="s">
        <v>14</v>
      </c>
      <c r="J10" s="88" t="s">
        <v>811</v>
      </c>
      <c r="K10" s="15" t="s">
        <v>18</v>
      </c>
      <c r="L10" s="15">
        <v>2</v>
      </c>
      <c r="M10" s="16" t="s">
        <v>20</v>
      </c>
    </row>
    <row r="11" spans="1:13" ht="60.75" customHeight="1" outlineLevel="1" x14ac:dyDescent="0.25">
      <c r="B11" s="133"/>
      <c r="C11" s="125"/>
      <c r="D11" s="133"/>
      <c r="E11" s="21" t="s">
        <v>160</v>
      </c>
      <c r="F11" s="10"/>
      <c r="G11" s="10"/>
      <c r="H11" s="10"/>
      <c r="I11" s="11" t="s">
        <v>14</v>
      </c>
      <c r="J11" s="93" t="s">
        <v>812</v>
      </c>
      <c r="K11" s="15" t="s">
        <v>18</v>
      </c>
      <c r="L11" s="15">
        <v>3</v>
      </c>
      <c r="M11" s="16" t="s">
        <v>161</v>
      </c>
    </row>
    <row r="12" spans="1:13" outlineLevel="1" x14ac:dyDescent="0.25">
      <c r="B12" s="133"/>
      <c r="C12" s="125"/>
      <c r="D12" s="133"/>
      <c r="E12" s="21" t="s">
        <v>162</v>
      </c>
      <c r="F12" s="10"/>
      <c r="G12" s="10"/>
      <c r="H12" s="10"/>
      <c r="I12" s="11" t="s">
        <v>14</v>
      </c>
    </row>
    <row r="13" spans="1:13" outlineLevel="1" x14ac:dyDescent="0.25">
      <c r="B13" s="133"/>
      <c r="C13" s="125"/>
      <c r="D13" s="133"/>
      <c r="E13" s="20" t="s">
        <v>163</v>
      </c>
      <c r="F13" s="10"/>
      <c r="G13" s="10"/>
      <c r="H13" s="10"/>
      <c r="I13" s="9" t="s">
        <v>14</v>
      </c>
      <c r="J13" s="89"/>
      <c r="K13" s="1"/>
      <c r="L13" s="3"/>
      <c r="M13" s="2"/>
    </row>
    <row r="14" spans="1:13" ht="30" outlineLevel="1" x14ac:dyDescent="0.25">
      <c r="B14" s="133"/>
      <c r="C14" s="125"/>
      <c r="D14" s="133"/>
      <c r="E14" s="20" t="s">
        <v>164</v>
      </c>
      <c r="F14" s="10"/>
      <c r="G14" s="10"/>
      <c r="H14" s="10"/>
      <c r="I14" s="9" t="s">
        <v>14</v>
      </c>
      <c r="J14" s="89"/>
      <c r="K14" s="1"/>
      <c r="L14" s="6"/>
      <c r="M14" s="2"/>
    </row>
    <row r="15" spans="1:13" outlineLevel="1" x14ac:dyDescent="0.25">
      <c r="B15" s="133"/>
      <c r="C15" s="125"/>
      <c r="D15" s="133"/>
      <c r="E15" s="20" t="s">
        <v>165</v>
      </c>
      <c r="F15" s="10"/>
      <c r="G15" s="10"/>
      <c r="H15" s="10"/>
      <c r="I15" s="9" t="s">
        <v>14</v>
      </c>
      <c r="J15" s="89"/>
      <c r="K15" s="1"/>
      <c r="L15" s="3"/>
      <c r="M15" s="3"/>
    </row>
    <row r="16" spans="1:13" outlineLevel="1" x14ac:dyDescent="0.25">
      <c r="B16" s="133"/>
      <c r="C16" s="125"/>
      <c r="D16" s="133"/>
      <c r="E16" s="20" t="s">
        <v>166</v>
      </c>
      <c r="F16" s="10"/>
      <c r="G16" s="10"/>
      <c r="H16" s="10"/>
      <c r="I16" s="9"/>
      <c r="J16" s="89"/>
      <c r="K16" s="1"/>
      <c r="L16" s="3"/>
      <c r="M16" s="3"/>
    </row>
    <row r="17" spans="1:13" outlineLevel="1" x14ac:dyDescent="0.25">
      <c r="B17" s="133"/>
      <c r="C17" s="125"/>
      <c r="D17" s="133"/>
      <c r="E17" s="18" t="s">
        <v>24</v>
      </c>
      <c r="F17" s="12">
        <f>COUNTIF(F10:F16,"Sim")</f>
        <v>0</v>
      </c>
      <c r="G17" s="12">
        <f>COUNTIF(G10:G16,"Sim")</f>
        <v>0</v>
      </c>
      <c r="H17" s="12">
        <f>COUNTIF(H10:H16,"Sim")</f>
        <v>0</v>
      </c>
      <c r="I17" s="9" t="s">
        <v>14</v>
      </c>
      <c r="J17" s="89"/>
      <c r="K17" s="1"/>
      <c r="L17" s="3"/>
      <c r="M17" s="2"/>
    </row>
    <row r="18" spans="1:13" x14ac:dyDescent="0.25">
      <c r="A18" s="94" t="str">
        <f>B9</f>
        <v>MP022</v>
      </c>
      <c r="B18" s="133"/>
      <c r="C18" s="125"/>
      <c r="D18" s="133"/>
      <c r="E18" s="19" t="s">
        <v>22</v>
      </c>
      <c r="F18" s="13" t="str">
        <f>IF(F17=7,"Nível 2 ou 3","Nível 1")</f>
        <v>Nível 1</v>
      </c>
      <c r="G18" s="13" t="str">
        <f>IF(SUM(G17:H17)=14,"Nível 3","Nível 2")</f>
        <v>Nível 2</v>
      </c>
      <c r="H18" s="11" t="s">
        <v>14</v>
      </c>
      <c r="I18" s="14" t="str">
        <f>IF(F18="Nível 1",F18,G18)</f>
        <v>Nível 1</v>
      </c>
      <c r="L18" s="6"/>
      <c r="M18" s="2"/>
    </row>
    <row r="19" spans="1:13" x14ac:dyDescent="0.25">
      <c r="A19" s="94"/>
    </row>
    <row r="20" spans="1:13" ht="105" outlineLevel="1" x14ac:dyDescent="0.25">
      <c r="A20" s="94"/>
      <c r="B20" s="133" t="s">
        <v>167</v>
      </c>
      <c r="C20" s="125" t="s">
        <v>157</v>
      </c>
      <c r="D20" s="133" t="s">
        <v>41</v>
      </c>
      <c r="E20" s="16" t="s">
        <v>328</v>
      </c>
      <c r="F20" s="17" t="s">
        <v>43</v>
      </c>
      <c r="G20" s="17" t="s">
        <v>48</v>
      </c>
      <c r="H20" s="8" t="s">
        <v>14</v>
      </c>
      <c r="I20" s="17" t="s">
        <v>40</v>
      </c>
      <c r="J20" s="90" t="s">
        <v>813</v>
      </c>
      <c r="K20" s="15" t="s">
        <v>17</v>
      </c>
      <c r="L20" s="15">
        <v>1</v>
      </c>
      <c r="M20" s="16" t="s">
        <v>42</v>
      </c>
    </row>
    <row r="21" spans="1:13" outlineLevel="1" x14ac:dyDescent="0.25">
      <c r="A21" s="94"/>
      <c r="B21" s="133"/>
      <c r="C21" s="125"/>
      <c r="D21" s="133"/>
      <c r="E21" s="20" t="s">
        <v>168</v>
      </c>
      <c r="F21" s="22"/>
      <c r="G21" s="22"/>
      <c r="H21" s="15" t="s">
        <v>14</v>
      </c>
      <c r="I21" s="15" t="s">
        <v>14</v>
      </c>
      <c r="J21" s="87" t="s">
        <v>814</v>
      </c>
      <c r="K21" s="15" t="s">
        <v>17</v>
      </c>
      <c r="L21" s="15">
        <v>2</v>
      </c>
      <c r="M21" s="16" t="s">
        <v>49</v>
      </c>
    </row>
    <row r="22" spans="1:13" outlineLevel="1" x14ac:dyDescent="0.25">
      <c r="A22" s="94"/>
      <c r="B22" s="133"/>
      <c r="C22" s="125"/>
      <c r="D22" s="133"/>
      <c r="E22" s="21" t="s">
        <v>169</v>
      </c>
      <c r="F22" s="22"/>
      <c r="G22" s="22"/>
      <c r="H22" s="15" t="s">
        <v>14</v>
      </c>
      <c r="I22" s="15" t="s">
        <v>14</v>
      </c>
      <c r="J22" s="87" t="s">
        <v>815</v>
      </c>
      <c r="K22" s="15" t="s">
        <v>18</v>
      </c>
      <c r="L22" s="15">
        <v>3</v>
      </c>
      <c r="M22" s="16" t="s">
        <v>50</v>
      </c>
    </row>
    <row r="23" spans="1:13" outlineLevel="1" x14ac:dyDescent="0.25">
      <c r="A23" s="94"/>
      <c r="B23" s="133"/>
      <c r="C23" s="125"/>
      <c r="D23" s="133"/>
      <c r="E23" s="21" t="s">
        <v>170</v>
      </c>
      <c r="F23" s="22"/>
      <c r="G23" s="22"/>
      <c r="H23" s="8" t="s">
        <v>14</v>
      </c>
      <c r="I23" s="8" t="s">
        <v>14</v>
      </c>
    </row>
    <row r="24" spans="1:13" outlineLevel="1" x14ac:dyDescent="0.25">
      <c r="A24" s="94"/>
      <c r="B24" s="133"/>
      <c r="C24" s="125"/>
      <c r="D24" s="133"/>
      <c r="E24" s="20" t="s">
        <v>171</v>
      </c>
      <c r="F24" s="22"/>
      <c r="G24" s="22"/>
      <c r="H24" s="8" t="s">
        <v>14</v>
      </c>
      <c r="I24" s="8" t="s">
        <v>14</v>
      </c>
    </row>
    <row r="25" spans="1:13" outlineLevel="1" x14ac:dyDescent="0.25">
      <c r="A25" s="94"/>
      <c r="B25" s="133"/>
      <c r="C25" s="125"/>
      <c r="D25" s="133"/>
      <c r="E25" s="18" t="s">
        <v>24</v>
      </c>
      <c r="F25" s="23">
        <f>COUNTIF(F21:F24,"Sim")</f>
        <v>0</v>
      </c>
      <c r="G25" s="23">
        <f>COUNTIF(G21:G24,"Sim")</f>
        <v>0</v>
      </c>
      <c r="H25" s="8" t="s">
        <v>14</v>
      </c>
      <c r="I25" s="8" t="s">
        <v>14</v>
      </c>
    </row>
    <row r="26" spans="1:13" x14ac:dyDescent="0.25">
      <c r="A26" s="94" t="str">
        <f>B20</f>
        <v>MP023</v>
      </c>
      <c r="B26" s="133"/>
      <c r="C26" s="125"/>
      <c r="D26" s="133"/>
      <c r="E26" s="19" t="s">
        <v>22</v>
      </c>
      <c r="F26" s="24" t="str">
        <f>IF(F25=4,"Nível 2 ou 3","Nível 1")</f>
        <v>Nível 1</v>
      </c>
      <c r="G26" s="24" t="str">
        <f>IF(SUM(G25)=4,"Nível 3","Nível 2")</f>
        <v>Nível 2</v>
      </c>
      <c r="H26" s="8" t="s">
        <v>14</v>
      </c>
      <c r="I26" s="25" t="str">
        <f>IF(F26="Nível 1",F26,G26)</f>
        <v>Nível 1</v>
      </c>
    </row>
    <row r="27" spans="1:13" x14ac:dyDescent="0.25">
      <c r="A27" s="94"/>
    </row>
    <row r="28" spans="1:13" ht="105" outlineLevel="1" x14ac:dyDescent="0.25">
      <c r="A28" s="94"/>
      <c r="B28" s="133" t="s">
        <v>172</v>
      </c>
      <c r="C28" s="125" t="s">
        <v>157</v>
      </c>
      <c r="D28" s="133" t="s">
        <v>7</v>
      </c>
      <c r="E28" s="16" t="s">
        <v>173</v>
      </c>
      <c r="F28" s="17" t="s">
        <v>174</v>
      </c>
      <c r="G28" s="17" t="s">
        <v>175</v>
      </c>
      <c r="H28" s="15" t="s">
        <v>14</v>
      </c>
      <c r="I28" s="17" t="s">
        <v>40</v>
      </c>
      <c r="J28" s="108" t="s">
        <v>816</v>
      </c>
      <c r="K28" s="8" t="s">
        <v>17</v>
      </c>
      <c r="L28" s="15">
        <v>1</v>
      </c>
      <c r="M28" s="16" t="s">
        <v>176</v>
      </c>
    </row>
    <row r="29" spans="1:13" outlineLevel="1" x14ac:dyDescent="0.25">
      <c r="A29" s="94"/>
      <c r="B29" s="133"/>
      <c r="C29" s="125"/>
      <c r="D29" s="133"/>
      <c r="E29" s="21" t="s">
        <v>177</v>
      </c>
      <c r="F29" s="22"/>
      <c r="G29" s="22"/>
      <c r="H29" s="15" t="s">
        <v>14</v>
      </c>
      <c r="I29" s="8" t="s">
        <v>14</v>
      </c>
    </row>
    <row r="30" spans="1:13" outlineLevel="1" x14ac:dyDescent="0.25">
      <c r="A30" s="94"/>
      <c r="B30" s="133"/>
      <c r="C30" s="125"/>
      <c r="D30" s="133"/>
      <c r="E30" s="21" t="s">
        <v>178</v>
      </c>
      <c r="F30" s="22"/>
      <c r="G30" s="22"/>
      <c r="H30" s="8" t="s">
        <v>14</v>
      </c>
      <c r="I30" s="8" t="s">
        <v>14</v>
      </c>
    </row>
    <row r="31" spans="1:13" outlineLevel="1" x14ac:dyDescent="0.25">
      <c r="A31" s="94"/>
      <c r="B31" s="133"/>
      <c r="C31" s="125"/>
      <c r="D31" s="133"/>
      <c r="E31" s="20" t="s">
        <v>179</v>
      </c>
      <c r="F31" s="22"/>
      <c r="G31" s="22"/>
      <c r="H31" s="8" t="s">
        <v>14</v>
      </c>
      <c r="I31" s="8" t="s">
        <v>14</v>
      </c>
    </row>
    <row r="32" spans="1:13" outlineLevel="1" x14ac:dyDescent="0.25">
      <c r="A32" s="94"/>
      <c r="B32" s="133"/>
      <c r="C32" s="125"/>
      <c r="D32" s="133"/>
      <c r="E32" s="18" t="s">
        <v>24</v>
      </c>
      <c r="F32" s="23">
        <f>COUNTIF(F29:F31,"Sim")</f>
        <v>0</v>
      </c>
      <c r="G32" s="23">
        <f>COUNTIF(G29:G31,"Sim")</f>
        <v>0</v>
      </c>
      <c r="H32" s="8" t="s">
        <v>14</v>
      </c>
      <c r="I32" s="8" t="s">
        <v>14</v>
      </c>
    </row>
    <row r="33" spans="1:13" x14ac:dyDescent="0.25">
      <c r="A33" s="94" t="str">
        <f>B28</f>
        <v>MP024</v>
      </c>
      <c r="B33" s="133"/>
      <c r="C33" s="125"/>
      <c r="D33" s="133"/>
      <c r="E33" s="19" t="s">
        <v>22</v>
      </c>
      <c r="F33" s="24" t="str">
        <f>IF(F32=3,"Nível 3","Nível 1")</f>
        <v>Nível 1</v>
      </c>
      <c r="G33" s="24" t="str">
        <f>IF(SUM(G32)=3,"Nível 3","Nível 1")</f>
        <v>Nível 1</v>
      </c>
      <c r="H33" s="8" t="s">
        <v>14</v>
      </c>
      <c r="I33" s="25" t="str">
        <f>IF(F33="Nível 1",F33,G33)</f>
        <v>Nível 1</v>
      </c>
    </row>
    <row r="34" spans="1:13" x14ac:dyDescent="0.25">
      <c r="A34" s="94"/>
    </row>
    <row r="35" spans="1:13" ht="105" outlineLevel="1" x14ac:dyDescent="0.25">
      <c r="A35" s="94"/>
      <c r="B35" s="134" t="s">
        <v>180</v>
      </c>
      <c r="C35" s="150" t="s">
        <v>157</v>
      </c>
      <c r="D35" s="150" t="s">
        <v>181</v>
      </c>
      <c r="E35" s="131" t="s">
        <v>182</v>
      </c>
      <c r="F35" s="17" t="s">
        <v>183</v>
      </c>
      <c r="G35" s="17" t="s">
        <v>184</v>
      </c>
      <c r="H35" s="8" t="s">
        <v>14</v>
      </c>
      <c r="I35" s="17" t="s">
        <v>40</v>
      </c>
      <c r="J35" s="108" t="s">
        <v>817</v>
      </c>
      <c r="K35" s="8" t="s">
        <v>17</v>
      </c>
      <c r="L35" s="15">
        <v>1</v>
      </c>
      <c r="M35" s="16" t="s">
        <v>329</v>
      </c>
    </row>
    <row r="36" spans="1:13" ht="45" outlineLevel="1" x14ac:dyDescent="0.25">
      <c r="A36" s="94"/>
      <c r="B36" s="135"/>
      <c r="C36" s="151"/>
      <c r="D36" s="151"/>
      <c r="E36" s="132"/>
      <c r="F36" s="22"/>
      <c r="G36" s="22"/>
      <c r="H36" s="8" t="s">
        <v>14</v>
      </c>
      <c r="I36" s="8" t="s">
        <v>14</v>
      </c>
      <c r="J36" s="87" t="s">
        <v>818</v>
      </c>
      <c r="K36" s="8" t="s">
        <v>18</v>
      </c>
      <c r="L36" s="15">
        <v>2</v>
      </c>
      <c r="M36" s="16" t="s">
        <v>185</v>
      </c>
    </row>
    <row r="37" spans="1:13" x14ac:dyDescent="0.25">
      <c r="A37" s="94" t="str">
        <f>B35</f>
        <v>MP025</v>
      </c>
      <c r="B37" s="136"/>
      <c r="C37" s="152"/>
      <c r="D37" s="152"/>
      <c r="E37" s="19" t="s">
        <v>22</v>
      </c>
      <c r="F37" s="24" t="str">
        <f>IF(F36="Sim","Nível 2 ou 3","Nível 1")</f>
        <v>Nível 1</v>
      </c>
      <c r="G37" s="24" t="str">
        <f>IF(G36="Sim","Nível 3","Nível 2")</f>
        <v>Nível 2</v>
      </c>
      <c r="H37" s="8" t="s">
        <v>14</v>
      </c>
      <c r="I37" s="25" t="str">
        <f>IF(F37="Nível 1",F37,G37)</f>
        <v>Nível 1</v>
      </c>
    </row>
    <row r="38" spans="1:13" x14ac:dyDescent="0.25">
      <c r="A38" s="94"/>
    </row>
    <row r="39" spans="1:13" ht="45" outlineLevel="1" x14ac:dyDescent="0.25">
      <c r="A39" s="94"/>
      <c r="B39" s="134" t="s">
        <v>186</v>
      </c>
      <c r="C39" s="150" t="s">
        <v>157</v>
      </c>
      <c r="D39" s="134" t="s">
        <v>51</v>
      </c>
      <c r="E39" s="131" t="s">
        <v>187</v>
      </c>
      <c r="F39" s="17" t="s">
        <v>330</v>
      </c>
      <c r="G39" s="8" t="s">
        <v>14</v>
      </c>
      <c r="H39" s="8" t="s">
        <v>14</v>
      </c>
      <c r="I39" s="17" t="s">
        <v>40</v>
      </c>
      <c r="J39" s="87" t="s">
        <v>819</v>
      </c>
      <c r="K39" s="8" t="s">
        <v>17</v>
      </c>
      <c r="L39" s="15">
        <v>1</v>
      </c>
      <c r="M39" s="16" t="s">
        <v>188</v>
      </c>
    </row>
    <row r="40" spans="1:13" outlineLevel="1" x14ac:dyDescent="0.25">
      <c r="A40" s="94"/>
      <c r="B40" s="135"/>
      <c r="C40" s="151"/>
      <c r="D40" s="135"/>
      <c r="E40" s="132"/>
      <c r="F40" s="22"/>
      <c r="G40" s="8" t="s">
        <v>14</v>
      </c>
      <c r="H40" s="8" t="s">
        <v>14</v>
      </c>
      <c r="I40" s="8" t="s">
        <v>14</v>
      </c>
    </row>
    <row r="41" spans="1:13" x14ac:dyDescent="0.25">
      <c r="A41" s="94" t="str">
        <f>B39</f>
        <v>MP026</v>
      </c>
      <c r="B41" s="136"/>
      <c r="C41" s="152"/>
      <c r="D41" s="136"/>
      <c r="E41" s="19" t="s">
        <v>22</v>
      </c>
      <c r="F41" s="24" t="str">
        <f>IF(F40="Sim","Nível 3","Nível 1")</f>
        <v>Nível 1</v>
      </c>
      <c r="G41" s="8" t="s">
        <v>14</v>
      </c>
      <c r="H41" s="8" t="s">
        <v>14</v>
      </c>
      <c r="I41" s="25" t="str">
        <f>F41</f>
        <v>Nível 1</v>
      </c>
    </row>
    <row r="42" spans="1:13" x14ac:dyDescent="0.25">
      <c r="A42" s="94"/>
    </row>
    <row r="43" spans="1:13" ht="105" outlineLevel="1" x14ac:dyDescent="0.25">
      <c r="A43" s="94"/>
      <c r="B43" s="133" t="s">
        <v>189</v>
      </c>
      <c r="C43" s="125" t="s">
        <v>157</v>
      </c>
      <c r="D43" s="133" t="s">
        <v>7</v>
      </c>
      <c r="E43" s="131" t="s">
        <v>190</v>
      </c>
      <c r="F43" s="17" t="s">
        <v>191</v>
      </c>
      <c r="G43" s="8" t="s">
        <v>14</v>
      </c>
      <c r="H43" s="8" t="s">
        <v>14</v>
      </c>
      <c r="I43" s="17" t="s">
        <v>40</v>
      </c>
      <c r="J43" s="88" t="s">
        <v>820</v>
      </c>
      <c r="K43" s="8" t="s">
        <v>17</v>
      </c>
      <c r="L43" s="15">
        <v>1</v>
      </c>
      <c r="M43" s="16" t="s">
        <v>192</v>
      </c>
    </row>
    <row r="44" spans="1:13" outlineLevel="1" x14ac:dyDescent="0.25">
      <c r="A44" s="94"/>
      <c r="B44" s="133"/>
      <c r="C44" s="125"/>
      <c r="D44" s="133"/>
      <c r="E44" s="132"/>
      <c r="F44" s="10"/>
      <c r="G44" s="8" t="s">
        <v>14</v>
      </c>
      <c r="H44" s="8" t="s">
        <v>14</v>
      </c>
      <c r="I44" s="9" t="s">
        <v>14</v>
      </c>
      <c r="J44" s="89"/>
      <c r="L44" s="6"/>
      <c r="M44" s="2"/>
    </row>
    <row r="45" spans="1:13" x14ac:dyDescent="0.25">
      <c r="A45" s="94" t="str">
        <f>B43</f>
        <v>MP027</v>
      </c>
      <c r="B45" s="133"/>
      <c r="C45" s="125"/>
      <c r="D45" s="133"/>
      <c r="E45" s="19" t="s">
        <v>22</v>
      </c>
      <c r="F45" s="24" t="str">
        <f>IF(F44="Sim","Nível 3","Nível 1")</f>
        <v>Nível 1</v>
      </c>
      <c r="G45" s="11" t="s">
        <v>14</v>
      </c>
      <c r="H45" s="11" t="s">
        <v>14</v>
      </c>
      <c r="I45" s="14" t="str">
        <f>F45</f>
        <v>Nível 1</v>
      </c>
      <c r="L45" s="6"/>
      <c r="M45" s="2"/>
    </row>
    <row r="46" spans="1:13" x14ac:dyDescent="0.25">
      <c r="A46" s="94"/>
    </row>
    <row r="47" spans="1:13" ht="105" outlineLevel="1" x14ac:dyDescent="0.25">
      <c r="A47" s="94"/>
      <c r="B47" s="133" t="s">
        <v>193</v>
      </c>
      <c r="C47" s="125" t="s">
        <v>157</v>
      </c>
      <c r="D47" s="133" t="s">
        <v>7</v>
      </c>
      <c r="E47" s="131" t="s">
        <v>194</v>
      </c>
      <c r="F47" s="17" t="s">
        <v>195</v>
      </c>
      <c r="G47" s="8" t="s">
        <v>14</v>
      </c>
      <c r="H47" s="8" t="s">
        <v>14</v>
      </c>
      <c r="I47" s="17" t="s">
        <v>40</v>
      </c>
      <c r="J47" s="88" t="s">
        <v>821</v>
      </c>
      <c r="K47" s="8" t="s">
        <v>17</v>
      </c>
      <c r="L47" s="15">
        <v>1</v>
      </c>
      <c r="M47" s="16" t="s">
        <v>196</v>
      </c>
    </row>
    <row r="48" spans="1:13" outlineLevel="1" x14ac:dyDescent="0.25">
      <c r="A48" s="94"/>
      <c r="B48" s="133"/>
      <c r="C48" s="125"/>
      <c r="D48" s="133"/>
      <c r="E48" s="132"/>
      <c r="F48" s="10"/>
      <c r="G48" s="8" t="s">
        <v>14</v>
      </c>
      <c r="H48" s="8" t="s">
        <v>14</v>
      </c>
      <c r="I48" s="9" t="s">
        <v>14</v>
      </c>
      <c r="J48" s="89"/>
      <c r="L48" s="6"/>
      <c r="M48" s="2"/>
    </row>
    <row r="49" spans="1:13" x14ac:dyDescent="0.25">
      <c r="A49" s="94" t="str">
        <f>B47</f>
        <v>MP028</v>
      </c>
      <c r="B49" s="133"/>
      <c r="C49" s="125"/>
      <c r="D49" s="133"/>
      <c r="E49" s="19" t="s">
        <v>22</v>
      </c>
      <c r="F49" s="24" t="str">
        <f>IF(F48="Sim","Nível 3","Nível 1")</f>
        <v>Nível 1</v>
      </c>
      <c r="G49" s="8" t="s">
        <v>14</v>
      </c>
      <c r="H49" s="11" t="s">
        <v>14</v>
      </c>
      <c r="I49" s="14" t="str">
        <f>F49</f>
        <v>Nível 1</v>
      </c>
      <c r="L49" s="6"/>
      <c r="M49" s="2"/>
    </row>
    <row r="50" spans="1:13" x14ac:dyDescent="0.25">
      <c r="A50" s="94"/>
    </row>
    <row r="51" spans="1:13" ht="105" outlineLevel="1" x14ac:dyDescent="0.25">
      <c r="A51" s="94"/>
      <c r="B51" s="133" t="s">
        <v>197</v>
      </c>
      <c r="C51" s="125" t="s">
        <v>157</v>
      </c>
      <c r="D51" s="133" t="s">
        <v>7</v>
      </c>
      <c r="E51" s="131" t="s">
        <v>198</v>
      </c>
      <c r="F51" s="17" t="s">
        <v>195</v>
      </c>
      <c r="G51" s="8" t="s">
        <v>14</v>
      </c>
      <c r="H51" s="8" t="s">
        <v>14</v>
      </c>
      <c r="I51" s="17" t="s">
        <v>40</v>
      </c>
      <c r="J51" s="88" t="s">
        <v>822</v>
      </c>
      <c r="K51" s="8" t="s">
        <v>17</v>
      </c>
      <c r="L51" s="15">
        <v>1</v>
      </c>
      <c r="M51" s="16" t="s">
        <v>199</v>
      </c>
    </row>
    <row r="52" spans="1:13" outlineLevel="1" x14ac:dyDescent="0.25">
      <c r="A52" s="94"/>
      <c r="B52" s="133"/>
      <c r="C52" s="125"/>
      <c r="D52" s="133"/>
      <c r="E52" s="132"/>
      <c r="F52" s="10"/>
      <c r="G52" s="8" t="s">
        <v>14</v>
      </c>
      <c r="H52" s="8" t="s">
        <v>14</v>
      </c>
      <c r="I52" s="9" t="s">
        <v>14</v>
      </c>
      <c r="J52" s="89"/>
      <c r="L52" s="6"/>
      <c r="M52" s="2"/>
    </row>
    <row r="53" spans="1:13" x14ac:dyDescent="0.25">
      <c r="A53" s="94" t="str">
        <f>B51</f>
        <v>MP029</v>
      </c>
      <c r="B53" s="133"/>
      <c r="C53" s="125"/>
      <c r="D53" s="133"/>
      <c r="E53" s="19" t="s">
        <v>22</v>
      </c>
      <c r="F53" s="24" t="str">
        <f>IF(F52="Sim","Nível 3","Nível 1")</f>
        <v>Nível 1</v>
      </c>
      <c r="G53" s="8" t="s">
        <v>14</v>
      </c>
      <c r="H53" s="11" t="s">
        <v>14</v>
      </c>
      <c r="I53" s="14" t="str">
        <f>F53</f>
        <v>Nível 1</v>
      </c>
      <c r="L53" s="6"/>
      <c r="M53" s="2"/>
    </row>
    <row r="54" spans="1:13" x14ac:dyDescent="0.25">
      <c r="A54" s="94"/>
    </row>
    <row r="55" spans="1:13" ht="105" outlineLevel="1" x14ac:dyDescent="0.25">
      <c r="A55" s="94"/>
      <c r="B55" s="133" t="s">
        <v>200</v>
      </c>
      <c r="C55" s="125" t="s">
        <v>157</v>
      </c>
      <c r="D55" s="133" t="s">
        <v>51</v>
      </c>
      <c r="E55" s="131" t="s">
        <v>201</v>
      </c>
      <c r="F55" s="34" t="s">
        <v>331</v>
      </c>
      <c r="G55" s="17" t="s">
        <v>332</v>
      </c>
      <c r="H55" s="8" t="s">
        <v>14</v>
      </c>
      <c r="I55" s="17" t="s">
        <v>40</v>
      </c>
      <c r="J55" s="88" t="s">
        <v>823</v>
      </c>
      <c r="K55" s="8" t="s">
        <v>17</v>
      </c>
      <c r="L55" s="15">
        <v>1</v>
      </c>
      <c r="M55" s="16" t="s">
        <v>202</v>
      </c>
    </row>
    <row r="56" spans="1:13" ht="105" outlineLevel="1" x14ac:dyDescent="0.25">
      <c r="A56" s="94"/>
      <c r="B56" s="133"/>
      <c r="C56" s="125"/>
      <c r="D56" s="133"/>
      <c r="E56" s="132"/>
      <c r="F56" s="22"/>
      <c r="G56" s="22"/>
      <c r="H56" s="8" t="s">
        <v>14</v>
      </c>
      <c r="I56" s="9" t="s">
        <v>14</v>
      </c>
      <c r="J56" s="89" t="s">
        <v>824</v>
      </c>
      <c r="K56" s="8" t="s">
        <v>18</v>
      </c>
      <c r="L56" s="15">
        <v>2</v>
      </c>
      <c r="M56" s="16" t="s">
        <v>203</v>
      </c>
    </row>
    <row r="57" spans="1:13" x14ac:dyDescent="0.25">
      <c r="A57" s="94" t="str">
        <f>B55</f>
        <v>MP030</v>
      </c>
      <c r="B57" s="133"/>
      <c r="C57" s="125"/>
      <c r="D57" s="133"/>
      <c r="E57" s="19" t="s">
        <v>22</v>
      </c>
      <c r="F57" s="24" t="str">
        <f>IF(F56="Sim","Nível 2 ou 3","Nível 1")</f>
        <v>Nível 1</v>
      </c>
      <c r="G57" s="24" t="str">
        <f>IF(G56="Sim","Nível 3","Nível 2")</f>
        <v>Nível 2</v>
      </c>
      <c r="H57" s="11" t="s">
        <v>14</v>
      </c>
      <c r="I57" s="14" t="str">
        <f>IF(F57="Nível 1",F57,G57)</f>
        <v>Nível 1</v>
      </c>
      <c r="L57" s="6"/>
      <c r="M57" s="2"/>
    </row>
  </sheetData>
  <mergeCells count="38">
    <mergeCell ref="E43:E44"/>
    <mergeCell ref="E47:E48"/>
    <mergeCell ref="B9:B18"/>
    <mergeCell ref="C9:C18"/>
    <mergeCell ref="D9:D18"/>
    <mergeCell ref="E35:E36"/>
    <mergeCell ref="E39:E40"/>
    <mergeCell ref="B20:B26"/>
    <mergeCell ref="C20:C26"/>
    <mergeCell ref="D20:D26"/>
    <mergeCell ref="B28:B33"/>
    <mergeCell ref="C28:C33"/>
    <mergeCell ref="D28:D33"/>
    <mergeCell ref="B35:B37"/>
    <mergeCell ref="C35:C37"/>
    <mergeCell ref="D35:D37"/>
    <mergeCell ref="F2:H2"/>
    <mergeCell ref="E4:E6"/>
    <mergeCell ref="G4:G6"/>
    <mergeCell ref="H4:H6"/>
    <mergeCell ref="F8:H8"/>
    <mergeCell ref="B39:B41"/>
    <mergeCell ref="C39:C41"/>
    <mergeCell ref="D39:D41"/>
    <mergeCell ref="B43:B45"/>
    <mergeCell ref="C43:C45"/>
    <mergeCell ref="D43:D45"/>
    <mergeCell ref="B47:B49"/>
    <mergeCell ref="C47:C49"/>
    <mergeCell ref="D47:D49"/>
    <mergeCell ref="B51:B53"/>
    <mergeCell ref="C51:C53"/>
    <mergeCell ref="D51:D53"/>
    <mergeCell ref="B55:B57"/>
    <mergeCell ref="C55:C57"/>
    <mergeCell ref="D55:D57"/>
    <mergeCell ref="E51:E52"/>
    <mergeCell ref="E55:E56"/>
  </mergeCells>
  <pageMargins left="0.23622047244094491" right="0.23622047244094491" top="0.74803149606299213" bottom="0.74803149606299213" header="0.31496062992125984" footer="0.31496062992125984"/>
  <pageSetup paperSize="9" scale="5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69"/>
  <sheetViews>
    <sheetView showGridLines="0" zoomScale="80" zoomScaleNormal="80" workbookViewId="0">
      <pane ySplit="8" topLeftCell="A9" activePane="bottomLeft" state="frozen"/>
      <selection activeCell="E59" sqref="E59"/>
      <selection pane="bottomLeft" activeCell="A9" sqref="A9"/>
    </sheetView>
  </sheetViews>
  <sheetFormatPr defaultRowHeight="15" outlineLevelRow="1" outlineLevelCol="1" x14ac:dyDescent="0.25"/>
  <cols>
    <col min="1" max="1" width="1.42578125" customWidth="1"/>
    <col min="2" max="2" width="10.5703125" bestFit="1" customWidth="1"/>
    <col min="3" max="3" width="17.5703125" customWidth="1"/>
    <col min="4" max="4" width="13.85546875" bestFit="1" customWidth="1"/>
    <col min="5" max="5" width="68.42578125" customWidth="1" outlineLevel="1"/>
    <col min="6" max="8" width="20.28515625" customWidth="1" outlineLevel="1"/>
    <col min="9" max="9" width="19" customWidth="1"/>
    <col min="10" max="10" width="3.140625" style="87" customWidth="1"/>
    <col min="11" max="11" width="8.42578125" customWidth="1" outlineLevel="1"/>
    <col min="12" max="12" width="9.140625" customWidth="1" outlineLevel="1"/>
    <col min="13" max="13" width="82.5703125" customWidth="1" outlineLevel="1"/>
  </cols>
  <sheetData>
    <row r="1" spans="1:13" x14ac:dyDescent="0.25">
      <c r="A1" s="4" t="s">
        <v>154</v>
      </c>
      <c r="F1" s="3"/>
      <c r="G1" s="3"/>
      <c r="H1" s="3"/>
    </row>
    <row r="2" spans="1:13" x14ac:dyDescent="0.25">
      <c r="A2" s="32" t="s">
        <v>204</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102</v>
      </c>
      <c r="G6" s="144"/>
      <c r="H6" s="147"/>
    </row>
    <row r="7" spans="1:13" ht="6" customHeight="1" x14ac:dyDescent="0.25"/>
    <row r="8" spans="1:13" s="113" customFormat="1" ht="35.25" customHeight="1" x14ac:dyDescent="0.25">
      <c r="B8" s="114" t="s">
        <v>0</v>
      </c>
      <c r="C8" s="114" t="s">
        <v>2</v>
      </c>
      <c r="D8" s="114" t="s">
        <v>6</v>
      </c>
      <c r="E8" s="114" t="s">
        <v>11</v>
      </c>
      <c r="F8" s="141" t="s">
        <v>12</v>
      </c>
      <c r="G8" s="141"/>
      <c r="H8" s="141"/>
      <c r="I8" s="115" t="s">
        <v>13</v>
      </c>
      <c r="J8" s="111"/>
      <c r="K8" s="115" t="s">
        <v>19</v>
      </c>
      <c r="L8" s="114" t="s">
        <v>4</v>
      </c>
      <c r="M8" s="114" t="s">
        <v>25</v>
      </c>
    </row>
    <row r="9" spans="1:13" ht="81.75" customHeight="1" outlineLevel="1" x14ac:dyDescent="0.25">
      <c r="B9" s="133" t="s">
        <v>205</v>
      </c>
      <c r="C9" s="125" t="s">
        <v>206</v>
      </c>
      <c r="D9" s="133" t="s">
        <v>7</v>
      </c>
      <c r="E9" s="16" t="s">
        <v>207</v>
      </c>
      <c r="F9" s="46" t="s">
        <v>518</v>
      </c>
      <c r="G9" s="17" t="s">
        <v>9</v>
      </c>
      <c r="H9" s="17" t="s">
        <v>10</v>
      </c>
      <c r="I9" s="17" t="s">
        <v>40</v>
      </c>
      <c r="J9" s="88" t="s">
        <v>833</v>
      </c>
      <c r="K9" s="15" t="s">
        <v>17</v>
      </c>
      <c r="L9" s="15">
        <v>1</v>
      </c>
      <c r="M9" s="16" t="s">
        <v>208</v>
      </c>
    </row>
    <row r="10" spans="1:13" ht="60" outlineLevel="1" x14ac:dyDescent="0.25">
      <c r="B10" s="133"/>
      <c r="C10" s="125"/>
      <c r="D10" s="133"/>
      <c r="E10" s="20" t="s">
        <v>209</v>
      </c>
      <c r="F10" s="10"/>
      <c r="G10" s="10"/>
      <c r="H10" s="10"/>
      <c r="I10" s="9" t="s">
        <v>14</v>
      </c>
      <c r="J10" s="88" t="s">
        <v>834</v>
      </c>
      <c r="K10" s="15" t="s">
        <v>17</v>
      </c>
      <c r="L10" s="15">
        <v>1</v>
      </c>
      <c r="M10" s="16" t="s">
        <v>20</v>
      </c>
    </row>
    <row r="11" spans="1:13" ht="62.25" customHeight="1" outlineLevel="1" x14ac:dyDescent="0.25">
      <c r="B11" s="133"/>
      <c r="C11" s="125"/>
      <c r="D11" s="133"/>
      <c r="E11" s="21" t="s">
        <v>210</v>
      </c>
      <c r="F11" s="10"/>
      <c r="G11" s="10"/>
      <c r="H11" s="10"/>
      <c r="I11" s="11" t="s">
        <v>14</v>
      </c>
      <c r="J11" s="88" t="s">
        <v>835</v>
      </c>
      <c r="K11" s="15" t="s">
        <v>18</v>
      </c>
      <c r="L11" s="15">
        <v>3</v>
      </c>
      <c r="M11" s="16" t="s">
        <v>211</v>
      </c>
    </row>
    <row r="12" spans="1:13" outlineLevel="1" x14ac:dyDescent="0.25">
      <c r="B12" s="133"/>
      <c r="C12" s="125"/>
      <c r="D12" s="133"/>
      <c r="E12" s="21" t="s">
        <v>212</v>
      </c>
      <c r="F12" s="10"/>
      <c r="G12" s="10"/>
      <c r="H12" s="10"/>
      <c r="I12" s="11" t="s">
        <v>14</v>
      </c>
    </row>
    <row r="13" spans="1:13" outlineLevel="1" x14ac:dyDescent="0.25">
      <c r="B13" s="133"/>
      <c r="C13" s="125"/>
      <c r="D13" s="133"/>
      <c r="E13" s="20" t="s">
        <v>213</v>
      </c>
      <c r="F13" s="10"/>
      <c r="G13" s="10"/>
      <c r="H13" s="10"/>
      <c r="I13" s="9" t="s">
        <v>14</v>
      </c>
      <c r="J13" s="89"/>
      <c r="K13" s="1"/>
      <c r="L13" s="3"/>
      <c r="M13" s="2"/>
    </row>
    <row r="14" spans="1:13" outlineLevel="1" x14ac:dyDescent="0.25">
      <c r="B14" s="133"/>
      <c r="C14" s="125"/>
      <c r="D14" s="133"/>
      <c r="E14" s="18" t="s">
        <v>24</v>
      </c>
      <c r="F14" s="12">
        <f>COUNTIF(F10:F13,"Sim")</f>
        <v>0</v>
      </c>
      <c r="G14" s="12">
        <f>COUNTIF(G10:H13,"Sim")</f>
        <v>0</v>
      </c>
      <c r="H14" s="9" t="s">
        <v>14</v>
      </c>
      <c r="I14" s="9" t="s">
        <v>14</v>
      </c>
      <c r="J14" s="89"/>
      <c r="K14" s="1"/>
      <c r="L14" s="3"/>
      <c r="M14" s="2"/>
    </row>
    <row r="15" spans="1:13" x14ac:dyDescent="0.25">
      <c r="A15" s="94" t="str">
        <f>B9</f>
        <v>MP031</v>
      </c>
      <c r="B15" s="133"/>
      <c r="C15" s="125"/>
      <c r="D15" s="133"/>
      <c r="E15" s="19" t="s">
        <v>22</v>
      </c>
      <c r="F15" s="13" t="str">
        <f>IF(F14=4,"Nível 2 ou 3","Nível 1")</f>
        <v>Nível 1</v>
      </c>
      <c r="G15" s="120" t="str">
        <f>IF(G14=8,"Nível 3","Nível 2")</f>
        <v>Nível 2</v>
      </c>
      <c r="H15" s="9" t="s">
        <v>14</v>
      </c>
      <c r="I15" s="14" t="str">
        <f>IF(F15="Nível 1",F15,G15)</f>
        <v>Nível 1</v>
      </c>
      <c r="L15" s="6"/>
      <c r="M15" s="2"/>
    </row>
    <row r="16" spans="1:13" x14ac:dyDescent="0.25">
      <c r="A16" s="94"/>
    </row>
    <row r="17" spans="1:13" ht="60" outlineLevel="1" x14ac:dyDescent="0.25">
      <c r="A17" s="94"/>
      <c r="B17" s="133" t="s">
        <v>214</v>
      </c>
      <c r="C17" s="125" t="s">
        <v>206</v>
      </c>
      <c r="D17" s="133" t="s">
        <v>41</v>
      </c>
      <c r="E17" s="16" t="s">
        <v>215</v>
      </c>
      <c r="F17" s="17" t="s">
        <v>43</v>
      </c>
      <c r="G17" s="17" t="s">
        <v>48</v>
      </c>
      <c r="H17" s="8" t="s">
        <v>14</v>
      </c>
      <c r="I17" s="17" t="s">
        <v>40</v>
      </c>
      <c r="J17" s="109" t="s">
        <v>836</v>
      </c>
      <c r="K17" s="15" t="s">
        <v>17</v>
      </c>
      <c r="L17" s="15">
        <v>1</v>
      </c>
      <c r="M17" s="16" t="s">
        <v>42</v>
      </c>
    </row>
    <row r="18" spans="1:13" ht="60" outlineLevel="1" x14ac:dyDescent="0.25">
      <c r="A18" s="94"/>
      <c r="B18" s="133"/>
      <c r="C18" s="125"/>
      <c r="D18" s="133"/>
      <c r="E18" s="20" t="s">
        <v>216</v>
      </c>
      <c r="F18" s="22"/>
      <c r="G18" s="22"/>
      <c r="H18" s="15" t="s">
        <v>14</v>
      </c>
      <c r="I18" s="15" t="s">
        <v>14</v>
      </c>
      <c r="J18" s="109" t="s">
        <v>837</v>
      </c>
      <c r="K18" s="15" t="s">
        <v>17</v>
      </c>
      <c r="L18" s="15">
        <v>2</v>
      </c>
      <c r="M18" s="16" t="s">
        <v>49</v>
      </c>
    </row>
    <row r="19" spans="1:13" ht="60" outlineLevel="1" x14ac:dyDescent="0.25">
      <c r="A19" s="94"/>
      <c r="B19" s="133"/>
      <c r="C19" s="125"/>
      <c r="D19" s="133"/>
      <c r="E19" s="21" t="s">
        <v>217</v>
      </c>
      <c r="F19" s="22"/>
      <c r="G19" s="22"/>
      <c r="H19" s="15" t="s">
        <v>14</v>
      </c>
      <c r="I19" s="15" t="s">
        <v>14</v>
      </c>
      <c r="J19" s="109" t="s">
        <v>838</v>
      </c>
      <c r="K19" s="15" t="s">
        <v>18</v>
      </c>
      <c r="L19" s="15">
        <v>3</v>
      </c>
      <c r="M19" s="16" t="s">
        <v>50</v>
      </c>
    </row>
    <row r="20" spans="1:13" ht="30" outlineLevel="1" x14ac:dyDescent="0.25">
      <c r="A20" s="94"/>
      <c r="B20" s="133"/>
      <c r="C20" s="125"/>
      <c r="D20" s="133"/>
      <c r="E20" s="20" t="s">
        <v>218</v>
      </c>
      <c r="F20" s="22"/>
      <c r="G20" s="22"/>
      <c r="H20" s="8" t="s">
        <v>14</v>
      </c>
      <c r="I20" s="8" t="s">
        <v>14</v>
      </c>
    </row>
    <row r="21" spans="1:13" outlineLevel="1" x14ac:dyDescent="0.25">
      <c r="A21" s="94"/>
      <c r="B21" s="133"/>
      <c r="C21" s="125"/>
      <c r="D21" s="133"/>
      <c r="E21" s="20" t="s">
        <v>219</v>
      </c>
      <c r="F21" s="22"/>
      <c r="G21" s="22"/>
      <c r="H21" s="8" t="s">
        <v>14</v>
      </c>
      <c r="I21" s="8" t="s">
        <v>14</v>
      </c>
    </row>
    <row r="22" spans="1:13" outlineLevel="1" x14ac:dyDescent="0.25">
      <c r="A22" s="94"/>
      <c r="B22" s="133"/>
      <c r="C22" s="125"/>
      <c r="D22" s="133"/>
      <c r="E22" s="20" t="s">
        <v>220</v>
      </c>
      <c r="F22" s="22"/>
      <c r="G22" s="22"/>
      <c r="H22" s="8" t="s">
        <v>14</v>
      </c>
      <c r="I22" s="8" t="s">
        <v>14</v>
      </c>
    </row>
    <row r="23" spans="1:13" outlineLevel="1" x14ac:dyDescent="0.25">
      <c r="A23" s="94"/>
      <c r="B23" s="133"/>
      <c r="C23" s="125"/>
      <c r="D23" s="133"/>
      <c r="E23" s="20" t="s">
        <v>221</v>
      </c>
      <c r="F23" s="22"/>
      <c r="G23" s="22"/>
      <c r="H23" s="8" t="s">
        <v>14</v>
      </c>
      <c r="I23" s="8" t="s">
        <v>14</v>
      </c>
    </row>
    <row r="24" spans="1:13" outlineLevel="1" x14ac:dyDescent="0.25">
      <c r="A24" s="94"/>
      <c r="B24" s="133"/>
      <c r="C24" s="125"/>
      <c r="D24" s="133"/>
      <c r="E24" s="18" t="s">
        <v>24</v>
      </c>
      <c r="F24" s="23">
        <f>COUNTIF(F18:F23,"Sim")</f>
        <v>0</v>
      </c>
      <c r="G24" s="23">
        <f>COUNTIF(G18:G23,"Sim")</f>
        <v>0</v>
      </c>
      <c r="H24" s="8" t="s">
        <v>14</v>
      </c>
      <c r="I24" s="8" t="s">
        <v>14</v>
      </c>
    </row>
    <row r="25" spans="1:13" x14ac:dyDescent="0.25">
      <c r="A25" s="94" t="str">
        <f>B17</f>
        <v>MP032</v>
      </c>
      <c r="B25" s="133"/>
      <c r="C25" s="125"/>
      <c r="D25" s="133"/>
      <c r="E25" s="19" t="s">
        <v>22</v>
      </c>
      <c r="F25" s="24" t="str">
        <f>IF(F24=6,"Nível 2 ou 3","Nível 1")</f>
        <v>Nível 1</v>
      </c>
      <c r="G25" s="24" t="str">
        <f>IF(SUM(F24:G24)=12,"Nível 3","Nível 2")</f>
        <v>Nível 2</v>
      </c>
      <c r="H25" s="8" t="s">
        <v>14</v>
      </c>
      <c r="I25" s="25" t="str">
        <f>IF(F25="Nível 1",F25,G25)</f>
        <v>Nível 1</v>
      </c>
    </row>
    <row r="26" spans="1:13" x14ac:dyDescent="0.25">
      <c r="A26" s="94"/>
    </row>
    <row r="27" spans="1:13" ht="60" outlineLevel="1" x14ac:dyDescent="0.25">
      <c r="A27" s="94"/>
      <c r="B27" s="134" t="s">
        <v>222</v>
      </c>
      <c r="C27" s="150" t="s">
        <v>206</v>
      </c>
      <c r="D27" s="150" t="s">
        <v>51</v>
      </c>
      <c r="E27" s="131" t="s">
        <v>223</v>
      </c>
      <c r="F27" s="17" t="s">
        <v>333</v>
      </c>
      <c r="G27" s="17" t="s">
        <v>334</v>
      </c>
      <c r="H27" s="8" t="s">
        <v>14</v>
      </c>
      <c r="I27" s="17" t="s">
        <v>40</v>
      </c>
      <c r="J27" s="109" t="s">
        <v>839</v>
      </c>
      <c r="K27" s="8" t="s">
        <v>17</v>
      </c>
      <c r="L27" s="15">
        <v>1</v>
      </c>
      <c r="M27" s="16" t="s">
        <v>224</v>
      </c>
    </row>
    <row r="28" spans="1:13" ht="60" outlineLevel="1" x14ac:dyDescent="0.25">
      <c r="A28" s="94"/>
      <c r="B28" s="135"/>
      <c r="C28" s="151"/>
      <c r="D28" s="151"/>
      <c r="E28" s="132"/>
      <c r="F28" s="22"/>
      <c r="G28" s="22"/>
      <c r="H28" s="8" t="s">
        <v>14</v>
      </c>
      <c r="I28" s="8" t="s">
        <v>14</v>
      </c>
      <c r="J28" s="109" t="s">
        <v>840</v>
      </c>
      <c r="K28" s="8" t="s">
        <v>18</v>
      </c>
      <c r="L28" s="15">
        <v>2</v>
      </c>
      <c r="M28" s="16" t="s">
        <v>225</v>
      </c>
    </row>
    <row r="29" spans="1:13" x14ac:dyDescent="0.25">
      <c r="A29" s="94" t="str">
        <f>B27</f>
        <v>MP033</v>
      </c>
      <c r="B29" s="136"/>
      <c r="C29" s="152"/>
      <c r="D29" s="152"/>
      <c r="E29" s="19" t="s">
        <v>22</v>
      </c>
      <c r="F29" s="24" t="str">
        <f>IF(F28="Sim","Nível 2 ou 3","Nível 1")</f>
        <v>Nível 1</v>
      </c>
      <c r="G29" s="24" t="str">
        <f>IF(G28="Sim","Nível 3","Nível 2")</f>
        <v>Nível 2</v>
      </c>
      <c r="H29" s="8" t="s">
        <v>14</v>
      </c>
      <c r="I29" s="25" t="str">
        <f>IF(F29="Nível 1",F29,G29)</f>
        <v>Nível 1</v>
      </c>
    </row>
    <row r="30" spans="1:13" x14ac:dyDescent="0.25">
      <c r="A30" s="94"/>
    </row>
    <row r="31" spans="1:13" ht="60" outlineLevel="1" x14ac:dyDescent="0.25">
      <c r="A31" s="94"/>
      <c r="B31" s="134" t="s">
        <v>226</v>
      </c>
      <c r="C31" s="150" t="s">
        <v>206</v>
      </c>
      <c r="D31" s="134" t="s">
        <v>7</v>
      </c>
      <c r="E31" s="131" t="s">
        <v>227</v>
      </c>
      <c r="F31" s="17" t="s">
        <v>335</v>
      </c>
      <c r="G31" s="8" t="s">
        <v>14</v>
      </c>
      <c r="H31" s="8" t="s">
        <v>14</v>
      </c>
      <c r="I31" s="17" t="s">
        <v>40</v>
      </c>
      <c r="J31" s="87" t="s">
        <v>841</v>
      </c>
      <c r="K31" s="8" t="s">
        <v>17</v>
      </c>
      <c r="L31" s="15">
        <v>1</v>
      </c>
      <c r="M31" s="16" t="s">
        <v>228</v>
      </c>
    </row>
    <row r="32" spans="1:13" outlineLevel="1" x14ac:dyDescent="0.25">
      <c r="A32" s="94"/>
      <c r="B32" s="135"/>
      <c r="C32" s="151"/>
      <c r="D32" s="135"/>
      <c r="E32" s="132"/>
      <c r="F32" s="22"/>
      <c r="G32" s="8" t="s">
        <v>14</v>
      </c>
      <c r="H32" s="8" t="s">
        <v>14</v>
      </c>
      <c r="I32" s="8" t="s">
        <v>14</v>
      </c>
    </row>
    <row r="33" spans="1:13" x14ac:dyDescent="0.25">
      <c r="A33" s="94" t="str">
        <f>B31</f>
        <v>MP034</v>
      </c>
      <c r="B33" s="136"/>
      <c r="C33" s="152"/>
      <c r="D33" s="136"/>
      <c r="E33" s="19" t="s">
        <v>22</v>
      </c>
      <c r="F33" s="24" t="str">
        <f>IF(F32="Sim","Nível 3","Nível 1")</f>
        <v>Nível 1</v>
      </c>
      <c r="G33" s="8" t="s">
        <v>14</v>
      </c>
      <c r="H33" s="8" t="s">
        <v>14</v>
      </c>
      <c r="I33" s="25" t="str">
        <f>F33</f>
        <v>Nível 1</v>
      </c>
    </row>
    <row r="34" spans="1:13" x14ac:dyDescent="0.25">
      <c r="A34" s="94"/>
    </row>
    <row r="35" spans="1:13" ht="129" customHeight="1" outlineLevel="1" x14ac:dyDescent="0.25">
      <c r="A35" s="94"/>
      <c r="B35" s="133" t="s">
        <v>229</v>
      </c>
      <c r="C35" s="125" t="s">
        <v>206</v>
      </c>
      <c r="D35" s="133" t="s">
        <v>51</v>
      </c>
      <c r="E35" s="131" t="s">
        <v>230</v>
      </c>
      <c r="F35" s="17" t="s">
        <v>336</v>
      </c>
      <c r="G35" s="34" t="s">
        <v>337</v>
      </c>
      <c r="H35" s="34" t="s">
        <v>338</v>
      </c>
      <c r="I35" s="17" t="s">
        <v>40</v>
      </c>
      <c r="J35" s="88" t="s">
        <v>842</v>
      </c>
      <c r="K35" s="8" t="s">
        <v>17</v>
      </c>
      <c r="L35" s="15">
        <v>1</v>
      </c>
      <c r="M35" s="16" t="s">
        <v>231</v>
      </c>
    </row>
    <row r="36" spans="1:13" ht="60" outlineLevel="1" x14ac:dyDescent="0.25">
      <c r="A36" s="94"/>
      <c r="B36" s="133"/>
      <c r="C36" s="125"/>
      <c r="D36" s="133"/>
      <c r="E36" s="132"/>
      <c r="F36" s="10"/>
      <c r="G36" s="10"/>
      <c r="H36" s="10"/>
      <c r="I36" s="9" t="s">
        <v>14</v>
      </c>
      <c r="J36" s="88" t="s">
        <v>843</v>
      </c>
      <c r="K36" s="8" t="s">
        <v>18</v>
      </c>
      <c r="L36" s="15">
        <v>2</v>
      </c>
      <c r="M36" s="16" t="s">
        <v>232</v>
      </c>
    </row>
    <row r="37" spans="1:13" outlineLevel="1" x14ac:dyDescent="0.25">
      <c r="A37" s="94"/>
      <c r="B37" s="133"/>
      <c r="C37" s="125"/>
      <c r="D37" s="133"/>
      <c r="E37" s="18" t="s">
        <v>24</v>
      </c>
      <c r="F37" s="9" t="s">
        <v>14</v>
      </c>
      <c r="G37" s="23">
        <f>COUNTIF(G36:H36,"Sim")</f>
        <v>0</v>
      </c>
      <c r="H37" s="9" t="s">
        <v>14</v>
      </c>
      <c r="I37" s="9" t="s">
        <v>14</v>
      </c>
      <c r="J37" s="89"/>
    </row>
    <row r="38" spans="1:13" x14ac:dyDescent="0.25">
      <c r="A38" s="94" t="str">
        <f>B35</f>
        <v>MP035</v>
      </c>
      <c r="B38" s="133"/>
      <c r="C38" s="125"/>
      <c r="D38" s="133"/>
      <c r="E38" s="19" t="s">
        <v>22</v>
      </c>
      <c r="F38" s="24" t="str">
        <f>IF(F36="Sim","Nível 2 ou 3","Nível 1")</f>
        <v>Nível 1</v>
      </c>
      <c r="G38" s="24" t="str">
        <f>IF(G37=2,"Nível 3","Nível 2")</f>
        <v>Nível 2</v>
      </c>
      <c r="H38" s="9" t="s">
        <v>14</v>
      </c>
      <c r="I38" s="14" t="str">
        <f>IF(F38="Nível 1",F38,G38)</f>
        <v>Nível 1</v>
      </c>
      <c r="L38" s="6"/>
      <c r="M38" s="2"/>
    </row>
    <row r="39" spans="1:13" x14ac:dyDescent="0.25">
      <c r="A39" s="94"/>
    </row>
    <row r="40" spans="1:13" ht="60" outlineLevel="1" x14ac:dyDescent="0.25">
      <c r="A40" s="94"/>
      <c r="B40" s="133" t="s">
        <v>233</v>
      </c>
      <c r="C40" s="125" t="s">
        <v>206</v>
      </c>
      <c r="D40" s="133" t="s">
        <v>7</v>
      </c>
      <c r="E40" s="131" t="s">
        <v>234</v>
      </c>
      <c r="F40" s="17" t="s">
        <v>339</v>
      </c>
      <c r="G40" s="8" t="s">
        <v>14</v>
      </c>
      <c r="H40" s="8" t="s">
        <v>14</v>
      </c>
      <c r="I40" s="17" t="s">
        <v>40</v>
      </c>
      <c r="J40" s="88" t="s">
        <v>844</v>
      </c>
      <c r="K40" s="8" t="s">
        <v>17</v>
      </c>
      <c r="L40" s="15">
        <v>1</v>
      </c>
      <c r="M40" s="16" t="s">
        <v>235</v>
      </c>
    </row>
    <row r="41" spans="1:13" outlineLevel="1" x14ac:dyDescent="0.25">
      <c r="A41" s="94"/>
      <c r="B41" s="133"/>
      <c r="C41" s="125"/>
      <c r="D41" s="133"/>
      <c r="E41" s="132"/>
      <c r="F41" s="10"/>
      <c r="G41" s="8" t="s">
        <v>14</v>
      </c>
      <c r="H41" s="8" t="s">
        <v>14</v>
      </c>
      <c r="I41" s="9" t="s">
        <v>14</v>
      </c>
      <c r="J41" s="89"/>
      <c r="L41" s="6"/>
      <c r="M41" s="2"/>
    </row>
    <row r="42" spans="1:13" x14ac:dyDescent="0.25">
      <c r="A42" s="94" t="str">
        <f>B40</f>
        <v>MP036</v>
      </c>
      <c r="B42" s="133"/>
      <c r="C42" s="125"/>
      <c r="D42" s="133"/>
      <c r="E42" s="19" t="s">
        <v>22</v>
      </c>
      <c r="F42" s="24" t="str">
        <f>IF(F41="Sim","Nível 3","Nível 1")</f>
        <v>Nível 1</v>
      </c>
      <c r="G42" s="8" t="s">
        <v>14</v>
      </c>
      <c r="H42" s="11" t="s">
        <v>14</v>
      </c>
      <c r="I42" s="14" t="str">
        <f>F42</f>
        <v>Nível 1</v>
      </c>
      <c r="L42" s="6"/>
      <c r="M42" s="2"/>
    </row>
    <row r="43" spans="1:13" x14ac:dyDescent="0.25">
      <c r="A43" s="94">
        <f t="shared" ref="A43:A69" si="0">B41</f>
        <v>0</v>
      </c>
    </row>
    <row r="44" spans="1:13" ht="60" outlineLevel="1" x14ac:dyDescent="0.25">
      <c r="A44" s="94">
        <f t="shared" si="0"/>
        <v>0</v>
      </c>
      <c r="B44" s="133" t="s">
        <v>236</v>
      </c>
      <c r="C44" s="125" t="s">
        <v>206</v>
      </c>
      <c r="D44" s="133" t="s">
        <v>7</v>
      </c>
      <c r="E44" s="131" t="s">
        <v>237</v>
      </c>
      <c r="F44" s="34" t="s">
        <v>340</v>
      </c>
      <c r="G44" s="8" t="s">
        <v>14</v>
      </c>
      <c r="H44" s="8" t="s">
        <v>14</v>
      </c>
      <c r="I44" s="17" t="s">
        <v>40</v>
      </c>
      <c r="J44" s="88" t="s">
        <v>825</v>
      </c>
      <c r="K44" s="8" t="s">
        <v>17</v>
      </c>
      <c r="L44" s="15">
        <v>1</v>
      </c>
      <c r="M44" s="16" t="s">
        <v>238</v>
      </c>
    </row>
    <row r="45" spans="1:13" outlineLevel="1" x14ac:dyDescent="0.25">
      <c r="A45" s="94">
        <f t="shared" si="0"/>
        <v>0</v>
      </c>
      <c r="B45" s="133"/>
      <c r="C45" s="125"/>
      <c r="D45" s="133"/>
      <c r="E45" s="132"/>
      <c r="F45" s="10"/>
      <c r="G45" s="8" t="s">
        <v>14</v>
      </c>
      <c r="H45" s="8" t="s">
        <v>14</v>
      </c>
      <c r="I45" s="9" t="s">
        <v>14</v>
      </c>
      <c r="J45" s="89"/>
      <c r="L45" s="6"/>
      <c r="M45" s="2"/>
    </row>
    <row r="46" spans="1:13" x14ac:dyDescent="0.25">
      <c r="A46" s="94" t="str">
        <f t="shared" si="0"/>
        <v>MP037</v>
      </c>
      <c r="B46" s="133"/>
      <c r="C46" s="125"/>
      <c r="D46" s="133"/>
      <c r="E46" s="19" t="s">
        <v>22</v>
      </c>
      <c r="F46" s="24" t="str">
        <f>IF(F45="Sim","Nível 3","Nível 1")</f>
        <v>Nível 1</v>
      </c>
      <c r="G46" s="8" t="s">
        <v>14</v>
      </c>
      <c r="H46" s="11" t="s">
        <v>14</v>
      </c>
      <c r="I46" s="14" t="str">
        <f>F46</f>
        <v>Nível 1</v>
      </c>
      <c r="L46" s="6"/>
      <c r="M46" s="2"/>
    </row>
    <row r="47" spans="1:13" x14ac:dyDescent="0.25">
      <c r="A47" s="94">
        <f t="shared" si="0"/>
        <v>0</v>
      </c>
    </row>
    <row r="48" spans="1:13" ht="60" outlineLevel="1" x14ac:dyDescent="0.25">
      <c r="A48" s="94">
        <f t="shared" si="0"/>
        <v>0</v>
      </c>
      <c r="B48" s="125" t="s">
        <v>239</v>
      </c>
      <c r="C48" s="125" t="s">
        <v>206</v>
      </c>
      <c r="D48" s="133" t="s">
        <v>7</v>
      </c>
      <c r="E48" s="131" t="s">
        <v>240</v>
      </c>
      <c r="F48" s="17" t="s">
        <v>341</v>
      </c>
      <c r="G48" s="8" t="s">
        <v>14</v>
      </c>
      <c r="H48" s="8" t="s">
        <v>14</v>
      </c>
      <c r="I48" s="17" t="s">
        <v>40</v>
      </c>
      <c r="J48" s="88" t="s">
        <v>826</v>
      </c>
      <c r="K48" s="8" t="s">
        <v>17</v>
      </c>
      <c r="L48" s="15">
        <v>1</v>
      </c>
      <c r="M48" s="16" t="s">
        <v>241</v>
      </c>
    </row>
    <row r="49" spans="1:13" outlineLevel="1" x14ac:dyDescent="0.25">
      <c r="A49" s="94">
        <f t="shared" si="0"/>
        <v>0</v>
      </c>
      <c r="B49" s="125"/>
      <c r="C49" s="125"/>
      <c r="D49" s="133"/>
      <c r="E49" s="132"/>
      <c r="F49" s="10"/>
      <c r="G49" s="8" t="s">
        <v>14</v>
      </c>
      <c r="H49" s="8" t="s">
        <v>14</v>
      </c>
      <c r="I49" s="9" t="s">
        <v>14</v>
      </c>
      <c r="J49" s="89"/>
      <c r="L49" s="6"/>
      <c r="M49" s="2"/>
    </row>
    <row r="50" spans="1:13" x14ac:dyDescent="0.25">
      <c r="A50" s="94" t="str">
        <f t="shared" si="0"/>
        <v>MP038</v>
      </c>
      <c r="B50" s="125"/>
      <c r="C50" s="125"/>
      <c r="D50" s="133"/>
      <c r="E50" s="19" t="s">
        <v>22</v>
      </c>
      <c r="F50" s="24" t="str">
        <f>IF(F49="Sim","Nível 3","Nível 1")</f>
        <v>Nível 1</v>
      </c>
      <c r="G50" s="8" t="s">
        <v>14</v>
      </c>
      <c r="H50" s="11" t="s">
        <v>14</v>
      </c>
      <c r="I50" s="14" t="str">
        <f>F50</f>
        <v>Nível 1</v>
      </c>
      <c r="L50" s="6"/>
      <c r="M50" s="2"/>
    </row>
    <row r="51" spans="1:13" x14ac:dyDescent="0.25">
      <c r="A51" s="94"/>
    </row>
    <row r="52" spans="1:13" ht="43.15" customHeight="1" outlineLevel="1" x14ac:dyDescent="0.25">
      <c r="A52" s="94"/>
      <c r="B52" s="133" t="s">
        <v>242</v>
      </c>
      <c r="C52" s="125" t="s">
        <v>206</v>
      </c>
      <c r="D52" s="133" t="s">
        <v>51</v>
      </c>
      <c r="E52" s="16" t="s">
        <v>243</v>
      </c>
      <c r="F52" s="17" t="s">
        <v>342</v>
      </c>
      <c r="G52" s="8" t="s">
        <v>14</v>
      </c>
      <c r="H52" s="8" t="s">
        <v>14</v>
      </c>
      <c r="I52" s="17" t="s">
        <v>40</v>
      </c>
      <c r="J52" s="88" t="s">
        <v>827</v>
      </c>
      <c r="K52" s="15" t="s">
        <v>17</v>
      </c>
      <c r="L52" s="15">
        <v>1</v>
      </c>
      <c r="M52" s="16" t="s">
        <v>244</v>
      </c>
    </row>
    <row r="53" spans="1:13" ht="60" outlineLevel="1" x14ac:dyDescent="0.25">
      <c r="A53" s="94"/>
      <c r="B53" s="133"/>
      <c r="C53" s="125"/>
      <c r="D53" s="133"/>
      <c r="E53" s="20" t="s">
        <v>245</v>
      </c>
      <c r="F53" s="10"/>
      <c r="G53" s="8" t="s">
        <v>14</v>
      </c>
      <c r="H53" s="8" t="s">
        <v>14</v>
      </c>
      <c r="I53" s="9" t="s">
        <v>14</v>
      </c>
      <c r="J53" s="88" t="s">
        <v>828</v>
      </c>
      <c r="K53" s="15" t="s">
        <v>18</v>
      </c>
      <c r="L53" s="15">
        <v>2</v>
      </c>
      <c r="M53" s="16" t="s">
        <v>246</v>
      </c>
    </row>
    <row r="54" spans="1:13" ht="40.15" customHeight="1" outlineLevel="1" x14ac:dyDescent="0.25">
      <c r="A54" s="94"/>
      <c r="B54" s="133"/>
      <c r="C54" s="125"/>
      <c r="D54" s="133"/>
      <c r="E54" s="20" t="s">
        <v>247</v>
      </c>
      <c r="F54" s="10"/>
      <c r="G54" s="8" t="s">
        <v>14</v>
      </c>
      <c r="H54" s="8" t="s">
        <v>14</v>
      </c>
      <c r="I54" s="11" t="s">
        <v>14</v>
      </c>
      <c r="K54" s="1"/>
      <c r="L54" s="3"/>
      <c r="M54" s="2"/>
    </row>
    <row r="55" spans="1:13" outlineLevel="1" x14ac:dyDescent="0.25">
      <c r="A55" s="94"/>
      <c r="B55" s="133"/>
      <c r="C55" s="125"/>
      <c r="D55" s="133"/>
      <c r="E55" s="21" t="s">
        <v>248</v>
      </c>
      <c r="F55" s="10"/>
      <c r="G55" s="8" t="s">
        <v>14</v>
      </c>
      <c r="H55" s="8" t="s">
        <v>14</v>
      </c>
      <c r="I55" s="11" t="s">
        <v>14</v>
      </c>
      <c r="K55" s="1"/>
      <c r="L55" s="3"/>
      <c r="M55" s="2"/>
    </row>
    <row r="56" spans="1:13" outlineLevel="1" x14ac:dyDescent="0.25">
      <c r="A56" s="94"/>
      <c r="B56" s="133"/>
      <c r="C56" s="125"/>
      <c r="D56" s="133"/>
      <c r="E56" s="18" t="s">
        <v>24</v>
      </c>
      <c r="F56" s="12">
        <f>COUNTIF(F53:F55,"Sim")</f>
        <v>0</v>
      </c>
      <c r="G56" s="8" t="s">
        <v>14</v>
      </c>
      <c r="H56" s="8" t="s">
        <v>14</v>
      </c>
      <c r="I56" s="9" t="s">
        <v>14</v>
      </c>
      <c r="J56" s="89"/>
      <c r="K56" s="1"/>
      <c r="L56" s="3"/>
      <c r="M56" s="2"/>
    </row>
    <row r="57" spans="1:13" x14ac:dyDescent="0.25">
      <c r="A57" s="94" t="str">
        <f>B52</f>
        <v>MP039</v>
      </c>
      <c r="B57" s="133"/>
      <c r="C57" s="125"/>
      <c r="D57" s="133"/>
      <c r="E57" s="19" t="s">
        <v>22</v>
      </c>
      <c r="F57" s="13" t="str">
        <f>IF(F56=3,"Nível 3",IF(F56=0,"Nível 1","Nível 2"))</f>
        <v>Nível 1</v>
      </c>
      <c r="G57" s="8" t="s">
        <v>14</v>
      </c>
      <c r="H57" s="8" t="s">
        <v>14</v>
      </c>
      <c r="I57" s="14" t="str">
        <f>F57</f>
        <v>Nível 1</v>
      </c>
      <c r="L57" s="6"/>
      <c r="M57" s="2"/>
    </row>
    <row r="58" spans="1:13" x14ac:dyDescent="0.25">
      <c r="A58" s="94">
        <f t="shared" si="0"/>
        <v>0</v>
      </c>
    </row>
    <row r="59" spans="1:13" ht="60" outlineLevel="1" x14ac:dyDescent="0.25">
      <c r="A59" s="94">
        <f t="shared" si="0"/>
        <v>0</v>
      </c>
      <c r="B59" s="133" t="s">
        <v>249</v>
      </c>
      <c r="C59" s="125" t="s">
        <v>206</v>
      </c>
      <c r="D59" s="133" t="s">
        <v>51</v>
      </c>
      <c r="E59" s="131" t="s">
        <v>250</v>
      </c>
      <c r="F59" s="17" t="s">
        <v>343</v>
      </c>
      <c r="G59" s="8" t="s">
        <v>14</v>
      </c>
      <c r="H59" s="8" t="s">
        <v>14</v>
      </c>
      <c r="I59" s="17" t="s">
        <v>40</v>
      </c>
      <c r="J59" s="88" t="s">
        <v>829</v>
      </c>
      <c r="K59" s="8" t="s">
        <v>17</v>
      </c>
      <c r="L59" s="15">
        <v>1</v>
      </c>
      <c r="M59" s="16" t="s">
        <v>251</v>
      </c>
    </row>
    <row r="60" spans="1:13" outlineLevel="1" x14ac:dyDescent="0.25">
      <c r="A60" s="94">
        <f t="shared" si="0"/>
        <v>0</v>
      </c>
      <c r="B60" s="133"/>
      <c r="C60" s="125"/>
      <c r="D60" s="133"/>
      <c r="E60" s="132"/>
      <c r="F60" s="10"/>
      <c r="G60" s="8" t="s">
        <v>14</v>
      </c>
      <c r="H60" s="8" t="s">
        <v>14</v>
      </c>
      <c r="I60" s="9" t="s">
        <v>14</v>
      </c>
      <c r="J60" s="89"/>
      <c r="L60" s="6"/>
      <c r="M60" s="2"/>
    </row>
    <row r="61" spans="1:13" x14ac:dyDescent="0.25">
      <c r="A61" s="94" t="str">
        <f t="shared" si="0"/>
        <v>MP040</v>
      </c>
      <c r="B61" s="133"/>
      <c r="C61" s="125"/>
      <c r="D61" s="133"/>
      <c r="E61" s="19" t="s">
        <v>22</v>
      </c>
      <c r="F61" s="24" t="str">
        <f>IF(F60="Sim","Nível 3","Nível 1")</f>
        <v>Nível 1</v>
      </c>
      <c r="G61" s="8" t="s">
        <v>14</v>
      </c>
      <c r="H61" s="11" t="s">
        <v>14</v>
      </c>
      <c r="I61" s="14" t="str">
        <f>F61</f>
        <v>Nível 1</v>
      </c>
      <c r="L61" s="6"/>
      <c r="M61" s="2"/>
    </row>
    <row r="62" spans="1:13" x14ac:dyDescent="0.25">
      <c r="A62" s="94">
        <f t="shared" si="0"/>
        <v>0</v>
      </c>
    </row>
    <row r="63" spans="1:13" ht="102.75" customHeight="1" outlineLevel="1" x14ac:dyDescent="0.25">
      <c r="A63" s="94">
        <f t="shared" si="0"/>
        <v>0</v>
      </c>
      <c r="B63" s="133" t="s">
        <v>252</v>
      </c>
      <c r="C63" s="125" t="s">
        <v>206</v>
      </c>
      <c r="D63" s="133" t="s">
        <v>51</v>
      </c>
      <c r="E63" s="131" t="s">
        <v>253</v>
      </c>
      <c r="F63" s="17" t="s">
        <v>345</v>
      </c>
      <c r="G63" s="35" t="s">
        <v>344</v>
      </c>
      <c r="H63" s="8" t="s">
        <v>14</v>
      </c>
      <c r="I63" s="17" t="s">
        <v>40</v>
      </c>
      <c r="J63" s="88" t="s">
        <v>830</v>
      </c>
      <c r="K63" s="8" t="s">
        <v>17</v>
      </c>
      <c r="L63" s="15">
        <v>1</v>
      </c>
      <c r="M63" s="16" t="s">
        <v>254</v>
      </c>
    </row>
    <row r="64" spans="1:13" ht="60" outlineLevel="1" x14ac:dyDescent="0.25">
      <c r="A64" s="94">
        <f t="shared" si="0"/>
        <v>0</v>
      </c>
      <c r="B64" s="133"/>
      <c r="C64" s="125"/>
      <c r="D64" s="133"/>
      <c r="E64" s="132"/>
      <c r="F64" s="10"/>
      <c r="G64" s="10"/>
      <c r="H64" s="8" t="s">
        <v>14</v>
      </c>
      <c r="I64" s="9" t="s">
        <v>14</v>
      </c>
      <c r="J64" s="88" t="s">
        <v>831</v>
      </c>
      <c r="K64" s="8" t="s">
        <v>18</v>
      </c>
      <c r="L64" s="15">
        <v>2</v>
      </c>
      <c r="M64" s="16" t="s">
        <v>255</v>
      </c>
    </row>
    <row r="65" spans="1:13" x14ac:dyDescent="0.25">
      <c r="A65" s="94" t="str">
        <f t="shared" si="0"/>
        <v>MP041</v>
      </c>
      <c r="B65" s="133"/>
      <c r="C65" s="125"/>
      <c r="D65" s="133"/>
      <c r="E65" s="19" t="s">
        <v>22</v>
      </c>
      <c r="F65" s="24" t="str">
        <f>IF(F64="Sim","Nível 2 ou 3","Nível 1")</f>
        <v>Nível 1</v>
      </c>
      <c r="G65" s="24" t="str">
        <f>IF(G64="Sim","Nível 3","Nível 2")</f>
        <v>Nível 2</v>
      </c>
      <c r="H65" s="11" t="s">
        <v>14</v>
      </c>
      <c r="I65" s="14" t="str">
        <f>IF(F65="Nível 1",F65,G65)</f>
        <v>Nível 1</v>
      </c>
      <c r="L65" s="6"/>
      <c r="M65" s="2"/>
    </row>
    <row r="66" spans="1:13" x14ac:dyDescent="0.25">
      <c r="A66" s="94">
        <f t="shared" si="0"/>
        <v>0</v>
      </c>
    </row>
    <row r="67" spans="1:13" ht="102.75" customHeight="1" outlineLevel="1" x14ac:dyDescent="0.25">
      <c r="A67" s="94">
        <f t="shared" si="0"/>
        <v>0</v>
      </c>
      <c r="B67" s="133" t="s">
        <v>256</v>
      </c>
      <c r="C67" s="125" t="s">
        <v>206</v>
      </c>
      <c r="D67" s="133" t="s">
        <v>7</v>
      </c>
      <c r="E67" s="131" t="s">
        <v>257</v>
      </c>
      <c r="F67" s="17" t="s">
        <v>346</v>
      </c>
      <c r="G67" s="8" t="s">
        <v>14</v>
      </c>
      <c r="H67" s="8" t="s">
        <v>14</v>
      </c>
      <c r="I67" s="17" t="s">
        <v>40</v>
      </c>
      <c r="J67" s="88" t="s">
        <v>832</v>
      </c>
      <c r="K67" s="8" t="s">
        <v>17</v>
      </c>
      <c r="L67" s="15">
        <v>1</v>
      </c>
      <c r="M67" s="16" t="s">
        <v>258</v>
      </c>
    </row>
    <row r="68" spans="1:13" outlineLevel="1" x14ac:dyDescent="0.25">
      <c r="A68" s="94">
        <f t="shared" si="0"/>
        <v>0</v>
      </c>
      <c r="B68" s="133"/>
      <c r="C68" s="125"/>
      <c r="D68" s="133"/>
      <c r="E68" s="132"/>
      <c r="F68" s="10"/>
      <c r="G68" s="8" t="s">
        <v>14</v>
      </c>
      <c r="H68" s="8" t="s">
        <v>14</v>
      </c>
      <c r="I68" s="9" t="s">
        <v>14</v>
      </c>
      <c r="J68" s="89"/>
    </row>
    <row r="69" spans="1:13" x14ac:dyDescent="0.25">
      <c r="A69" s="94" t="str">
        <f t="shared" si="0"/>
        <v>MP042</v>
      </c>
      <c r="B69" s="133"/>
      <c r="C69" s="125"/>
      <c r="D69" s="133"/>
      <c r="E69" s="19" t="s">
        <v>22</v>
      </c>
      <c r="F69" s="24" t="str">
        <f>IF(F68="Sim","Nível 3","Nível 1")</f>
        <v>Nível 1</v>
      </c>
      <c r="G69" s="8" t="s">
        <v>14</v>
      </c>
      <c r="H69" s="11" t="s">
        <v>14</v>
      </c>
      <c r="I69" s="14" t="str">
        <f>F69</f>
        <v>Nível 1</v>
      </c>
      <c r="L69" s="6"/>
      <c r="M69" s="2"/>
    </row>
  </sheetData>
  <mergeCells count="50">
    <mergeCell ref="E48:E49"/>
    <mergeCell ref="E59:E60"/>
    <mergeCell ref="E63:E64"/>
    <mergeCell ref="E67:E68"/>
    <mergeCell ref="B9:B15"/>
    <mergeCell ref="C9:C15"/>
    <mergeCell ref="D9:D15"/>
    <mergeCell ref="B17:B25"/>
    <mergeCell ref="C17:C25"/>
    <mergeCell ref="D17:D25"/>
    <mergeCell ref="B27:B29"/>
    <mergeCell ref="C27:C29"/>
    <mergeCell ref="D27:D29"/>
    <mergeCell ref="B31:B33"/>
    <mergeCell ref="C31:C33"/>
    <mergeCell ref="D31:D33"/>
    <mergeCell ref="F2:H2"/>
    <mergeCell ref="E4:E6"/>
    <mergeCell ref="G4:G6"/>
    <mergeCell ref="H4:H6"/>
    <mergeCell ref="F8:H8"/>
    <mergeCell ref="B35:B38"/>
    <mergeCell ref="C35:C38"/>
    <mergeCell ref="D35:D38"/>
    <mergeCell ref="B40:B42"/>
    <mergeCell ref="C40:C42"/>
    <mergeCell ref="D40:D42"/>
    <mergeCell ref="B44:B46"/>
    <mergeCell ref="C44:C46"/>
    <mergeCell ref="D44:D46"/>
    <mergeCell ref="B48:B50"/>
    <mergeCell ref="C48:C50"/>
    <mergeCell ref="D48:D50"/>
    <mergeCell ref="B52:B57"/>
    <mergeCell ref="C52:C57"/>
    <mergeCell ref="D52:D57"/>
    <mergeCell ref="B67:B69"/>
    <mergeCell ref="C67:C69"/>
    <mergeCell ref="D67:D69"/>
    <mergeCell ref="B59:B61"/>
    <mergeCell ref="C59:C61"/>
    <mergeCell ref="D59:D61"/>
    <mergeCell ref="B63:B65"/>
    <mergeCell ref="C63:C65"/>
    <mergeCell ref="D63:D65"/>
    <mergeCell ref="E27:E28"/>
    <mergeCell ref="E31:E32"/>
    <mergeCell ref="E35:E36"/>
    <mergeCell ref="E40:E41"/>
    <mergeCell ref="E44:E45"/>
  </mergeCells>
  <pageMargins left="0.23622047244094491" right="0.23622047244094491" top="0.74803149606299213" bottom="0.74803149606299213" header="0.31496062992125984" footer="0.31496062992125984"/>
  <pageSetup paperSize="9" scale="48" orientation="landscape" r:id="rId1"/>
  <rowBreaks count="2" manualBreakCount="2">
    <brk id="34" max="12" man="1"/>
    <brk id="58" max="12"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showGridLines="0" zoomScale="80" zoomScaleNormal="80" workbookViewId="0"/>
  </sheetViews>
  <sheetFormatPr defaultRowHeight="15" outlineLevelRow="1" outlineLevelCol="1" x14ac:dyDescent="0.25"/>
  <cols>
    <col min="1" max="1" width="1.42578125" customWidth="1"/>
    <col min="2" max="2" width="10.5703125" bestFit="1" customWidth="1"/>
    <col min="3" max="4" width="15.42578125" bestFit="1" customWidth="1"/>
    <col min="5" max="5" width="68.42578125" customWidth="1" outlineLevel="1"/>
    <col min="6" max="8" width="16.7109375" customWidth="1" outlineLevel="1"/>
    <col min="9" max="9" width="19" customWidth="1"/>
    <col min="10" max="10" width="1.28515625" style="93" customWidth="1"/>
    <col min="11" max="11" width="8.42578125" customWidth="1" outlineLevel="1"/>
    <col min="12" max="12" width="9.140625" customWidth="1" outlineLevel="1"/>
    <col min="13" max="13" width="82.5703125" customWidth="1" outlineLevel="1"/>
  </cols>
  <sheetData>
    <row r="1" spans="1:13" x14ac:dyDescent="0.25">
      <c r="A1" s="4" t="s">
        <v>154</v>
      </c>
      <c r="F1" s="3"/>
      <c r="G1" s="3"/>
      <c r="H1" s="3"/>
    </row>
    <row r="2" spans="1:13" x14ac:dyDescent="0.25">
      <c r="A2" s="32" t="s">
        <v>564</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102</v>
      </c>
      <c r="G6" s="144"/>
      <c r="H6" s="147"/>
    </row>
    <row r="7" spans="1:13" ht="6" customHeight="1" x14ac:dyDescent="0.25"/>
    <row r="8" spans="1:13" ht="35.25" customHeight="1" x14ac:dyDescent="0.25">
      <c r="B8" s="114" t="s">
        <v>0</v>
      </c>
      <c r="C8" s="114" t="s">
        <v>2</v>
      </c>
      <c r="D8" s="114" t="s">
        <v>6</v>
      </c>
      <c r="E8" s="114" t="s">
        <v>11</v>
      </c>
      <c r="F8" s="141" t="s">
        <v>12</v>
      </c>
      <c r="G8" s="141"/>
      <c r="H8" s="141"/>
      <c r="I8" s="115" t="s">
        <v>13</v>
      </c>
      <c r="J8" s="111"/>
      <c r="K8" s="115" t="s">
        <v>19</v>
      </c>
      <c r="L8" s="114" t="s">
        <v>4</v>
      </c>
      <c r="M8" s="114" t="s">
        <v>25</v>
      </c>
    </row>
    <row r="9" spans="1:13" ht="105" outlineLevel="1" x14ac:dyDescent="0.25">
      <c r="B9" s="133" t="s">
        <v>565</v>
      </c>
      <c r="C9" s="125" t="s">
        <v>566</v>
      </c>
      <c r="D9" s="133" t="s">
        <v>7</v>
      </c>
      <c r="E9" s="16" t="s">
        <v>567</v>
      </c>
      <c r="F9" s="46" t="s">
        <v>518</v>
      </c>
      <c r="G9" s="46" t="s">
        <v>9</v>
      </c>
      <c r="H9" s="46" t="s">
        <v>10</v>
      </c>
      <c r="I9" s="46" t="s">
        <v>40</v>
      </c>
      <c r="J9" s="109" t="s">
        <v>845</v>
      </c>
      <c r="K9" s="15" t="s">
        <v>17</v>
      </c>
      <c r="L9" s="15">
        <v>1</v>
      </c>
      <c r="M9" s="16" t="s">
        <v>21</v>
      </c>
    </row>
    <row r="10" spans="1:13" ht="105" outlineLevel="1" x14ac:dyDescent="0.25">
      <c r="B10" s="133"/>
      <c r="C10" s="125"/>
      <c r="D10" s="133"/>
      <c r="E10" s="49" t="s">
        <v>568</v>
      </c>
      <c r="F10" s="22"/>
      <c r="G10" s="22"/>
      <c r="H10" s="22"/>
      <c r="I10" s="15" t="s">
        <v>14</v>
      </c>
      <c r="J10" s="109" t="s">
        <v>846</v>
      </c>
      <c r="K10" s="15" t="s">
        <v>17</v>
      </c>
      <c r="L10" s="15">
        <v>2</v>
      </c>
      <c r="M10" s="16" t="s">
        <v>20</v>
      </c>
    </row>
    <row r="11" spans="1:13" ht="105" outlineLevel="1" x14ac:dyDescent="0.25">
      <c r="B11" s="133"/>
      <c r="C11" s="125"/>
      <c r="D11" s="133"/>
      <c r="E11" s="49" t="s">
        <v>569</v>
      </c>
      <c r="F11" s="22"/>
      <c r="G11" s="22"/>
      <c r="H11" s="22"/>
      <c r="I11" s="15" t="s">
        <v>14</v>
      </c>
      <c r="J11" s="109" t="s">
        <v>847</v>
      </c>
      <c r="K11" s="15" t="s">
        <v>18</v>
      </c>
      <c r="L11" s="15">
        <v>3</v>
      </c>
      <c r="M11" s="16" t="s">
        <v>26</v>
      </c>
    </row>
    <row r="12" spans="1:13" ht="30" outlineLevel="1" x14ac:dyDescent="0.25">
      <c r="B12" s="133"/>
      <c r="C12" s="125"/>
      <c r="D12" s="133"/>
      <c r="E12" s="49" t="s">
        <v>570</v>
      </c>
      <c r="F12" s="22"/>
      <c r="G12" s="22"/>
      <c r="H12" s="22"/>
      <c r="I12" s="8" t="s">
        <v>14</v>
      </c>
    </row>
    <row r="13" spans="1:13" ht="30" outlineLevel="1" x14ac:dyDescent="0.25">
      <c r="B13" s="133"/>
      <c r="C13" s="125"/>
      <c r="D13" s="133"/>
      <c r="E13" s="49" t="s">
        <v>571</v>
      </c>
      <c r="F13" s="22"/>
      <c r="G13" s="22"/>
      <c r="H13" s="22"/>
      <c r="I13" s="8"/>
    </row>
    <row r="14" spans="1:13" outlineLevel="1" x14ac:dyDescent="0.25">
      <c r="B14" s="133"/>
      <c r="C14" s="125"/>
      <c r="D14" s="133"/>
      <c r="E14" s="18" t="s">
        <v>24</v>
      </c>
      <c r="F14" s="23">
        <f>COUNTIF(F10:F13,"Sim")</f>
        <v>0</v>
      </c>
      <c r="G14" s="23">
        <f>COUNTIF(G10:G13,"Sim")</f>
        <v>0</v>
      </c>
      <c r="H14" s="23">
        <f>COUNTIF(H10:H13,"Sim")</f>
        <v>0</v>
      </c>
      <c r="I14" s="8" t="s">
        <v>14</v>
      </c>
    </row>
    <row r="15" spans="1:13" x14ac:dyDescent="0.25">
      <c r="A15" s="94" t="str">
        <f>B9</f>
        <v>MP043</v>
      </c>
      <c r="B15" s="133"/>
      <c r="C15" s="125"/>
      <c r="D15" s="133"/>
      <c r="E15" s="19" t="s">
        <v>22</v>
      </c>
      <c r="F15" s="24" t="str">
        <f>IF(F14=4,"Nível 2 ou 3","Nível 1")</f>
        <v>Nível 1</v>
      </c>
      <c r="G15" s="24" t="str">
        <f>IF(SUM(G14:H14)=8,"Nível 3","Nível 2")</f>
        <v>Nível 2</v>
      </c>
      <c r="H15" s="11" t="s">
        <v>14</v>
      </c>
      <c r="I15" s="25" t="str">
        <f>IF(F15="Nível 1",F15,G15)</f>
        <v>Nível 1</v>
      </c>
    </row>
    <row r="16" spans="1:13" x14ac:dyDescent="0.25">
      <c r="A16" s="94"/>
    </row>
    <row r="17" spans="1:13" ht="105" outlineLevel="1" x14ac:dyDescent="0.25">
      <c r="A17" s="94"/>
      <c r="B17" s="133" t="s">
        <v>572</v>
      </c>
      <c r="C17" s="125" t="s">
        <v>566</v>
      </c>
      <c r="D17" s="133" t="s">
        <v>41</v>
      </c>
      <c r="E17" s="16" t="s">
        <v>573</v>
      </c>
      <c r="F17" s="46" t="s">
        <v>590</v>
      </c>
      <c r="G17" s="46" t="s">
        <v>589</v>
      </c>
      <c r="H17" s="15" t="s">
        <v>14</v>
      </c>
      <c r="I17" s="46" t="s">
        <v>40</v>
      </c>
      <c r="J17" s="109" t="s">
        <v>848</v>
      </c>
      <c r="K17" s="15" t="s">
        <v>17</v>
      </c>
      <c r="L17" s="15">
        <v>1</v>
      </c>
      <c r="M17" s="16" t="s">
        <v>574</v>
      </c>
    </row>
    <row r="18" spans="1:13" ht="105" outlineLevel="1" x14ac:dyDescent="0.25">
      <c r="A18" s="94"/>
      <c r="B18" s="133"/>
      <c r="C18" s="125"/>
      <c r="D18" s="133"/>
      <c r="E18" s="49" t="s">
        <v>585</v>
      </c>
      <c r="F18" s="22"/>
      <c r="G18" s="22"/>
      <c r="H18" s="15"/>
      <c r="I18" s="46"/>
      <c r="J18" s="109" t="s">
        <v>849</v>
      </c>
      <c r="K18" s="15" t="s">
        <v>18</v>
      </c>
      <c r="L18" s="15">
        <v>2</v>
      </c>
      <c r="M18" s="16" t="s">
        <v>575</v>
      </c>
    </row>
    <row r="19" spans="1:13" outlineLevel="1" x14ac:dyDescent="0.25">
      <c r="A19" s="94"/>
      <c r="B19" s="133"/>
      <c r="C19" s="125"/>
      <c r="D19" s="133"/>
      <c r="E19" s="49" t="s">
        <v>586</v>
      </c>
      <c r="F19" s="22"/>
      <c r="G19" s="22"/>
      <c r="H19" s="15"/>
      <c r="I19" s="46"/>
    </row>
    <row r="20" spans="1:13" outlineLevel="1" x14ac:dyDescent="0.25">
      <c r="A20" s="94"/>
      <c r="B20" s="133"/>
      <c r="C20" s="125"/>
      <c r="D20" s="133"/>
      <c r="E20" s="49" t="s">
        <v>587</v>
      </c>
      <c r="F20" s="22"/>
      <c r="G20" s="22"/>
      <c r="H20" s="15"/>
      <c r="I20" s="46"/>
    </row>
    <row r="21" spans="1:13" outlineLevel="1" x14ac:dyDescent="0.25">
      <c r="A21" s="94"/>
      <c r="B21" s="133"/>
      <c r="C21" s="125"/>
      <c r="D21" s="133"/>
      <c r="E21" s="49" t="s">
        <v>588</v>
      </c>
      <c r="F21" s="22"/>
      <c r="G21" s="22"/>
      <c r="H21" s="15"/>
      <c r="I21" s="46"/>
    </row>
    <row r="22" spans="1:13" outlineLevel="1" x14ac:dyDescent="0.25">
      <c r="A22" s="94"/>
      <c r="B22" s="133"/>
      <c r="C22" s="125"/>
      <c r="D22" s="133"/>
      <c r="E22" s="18" t="s">
        <v>24</v>
      </c>
      <c r="F22" s="23">
        <f>COUNTIF(F18:F21,"Sim")</f>
        <v>0</v>
      </c>
      <c r="G22" s="23">
        <f>COUNTIF(G18:G21,"Sim")</f>
        <v>0</v>
      </c>
      <c r="H22" s="15"/>
      <c r="I22" s="46"/>
    </row>
    <row r="23" spans="1:13" x14ac:dyDescent="0.25">
      <c r="A23" s="94" t="str">
        <f>B17</f>
        <v>MP044</v>
      </c>
      <c r="B23" s="133"/>
      <c r="C23" s="125"/>
      <c r="D23" s="133"/>
      <c r="E23" s="19" t="s">
        <v>22</v>
      </c>
      <c r="F23" s="13" t="str">
        <f>IF(F22=4,"Nível 2 ou 3","Nível 1")</f>
        <v>Nível 1</v>
      </c>
      <c r="G23" s="13" t="str">
        <f>IF(G22=4,"Nível 3","Nível 2")</f>
        <v>Nível 2</v>
      </c>
      <c r="H23" s="8" t="s">
        <v>14</v>
      </c>
      <c r="I23" s="25" t="str">
        <f>IF(F23="Nível 1",F23,G23)</f>
        <v>Nível 1</v>
      </c>
    </row>
    <row r="24" spans="1:13" x14ac:dyDescent="0.25">
      <c r="A24" s="94"/>
    </row>
    <row r="25" spans="1:13" ht="60" outlineLevel="1" x14ac:dyDescent="0.25">
      <c r="A25" s="94"/>
      <c r="B25" s="133" t="s">
        <v>576</v>
      </c>
      <c r="C25" s="150" t="s">
        <v>566</v>
      </c>
      <c r="D25" s="133" t="s">
        <v>41</v>
      </c>
      <c r="E25" s="131" t="s">
        <v>577</v>
      </c>
      <c r="F25" s="46" t="s">
        <v>578</v>
      </c>
      <c r="G25" s="15" t="s">
        <v>14</v>
      </c>
      <c r="H25" s="15" t="s">
        <v>14</v>
      </c>
      <c r="I25" s="46" t="s">
        <v>40</v>
      </c>
      <c r="J25" s="93" t="s">
        <v>850</v>
      </c>
      <c r="K25" s="15" t="s">
        <v>17</v>
      </c>
      <c r="L25" s="15">
        <v>1</v>
      </c>
      <c r="M25" s="16" t="s">
        <v>579</v>
      </c>
    </row>
    <row r="26" spans="1:13" ht="30" outlineLevel="1" x14ac:dyDescent="0.25">
      <c r="A26" s="94"/>
      <c r="B26" s="133"/>
      <c r="C26" s="151"/>
      <c r="D26" s="133"/>
      <c r="E26" s="132"/>
      <c r="F26" s="22"/>
      <c r="G26" s="8" t="s">
        <v>14</v>
      </c>
      <c r="H26" s="8" t="s">
        <v>14</v>
      </c>
      <c r="I26" s="8" t="s">
        <v>14</v>
      </c>
      <c r="J26" s="93" t="s">
        <v>851</v>
      </c>
      <c r="K26" s="15" t="s">
        <v>17</v>
      </c>
      <c r="L26" s="15">
        <v>2</v>
      </c>
      <c r="M26" s="16" t="s">
        <v>580</v>
      </c>
    </row>
    <row r="27" spans="1:13" x14ac:dyDescent="0.25">
      <c r="A27" s="94" t="str">
        <f>B25</f>
        <v>MP045</v>
      </c>
      <c r="B27" s="133"/>
      <c r="C27" s="152"/>
      <c r="D27" s="133"/>
      <c r="E27" s="19" t="s">
        <v>22</v>
      </c>
      <c r="F27" s="24" t="str">
        <f>IF(F26="Sim","Nível 3","Nível 1")</f>
        <v>Nível 1</v>
      </c>
      <c r="G27" s="8" t="s">
        <v>14</v>
      </c>
      <c r="H27" s="8" t="s">
        <v>14</v>
      </c>
      <c r="I27" s="25" t="str">
        <f>F27</f>
        <v>Nível 1</v>
      </c>
    </row>
    <row r="28" spans="1:13" x14ac:dyDescent="0.25">
      <c r="A28" s="94"/>
    </row>
    <row r="29" spans="1:13" ht="60" outlineLevel="1" x14ac:dyDescent="0.25">
      <c r="A29" s="94"/>
      <c r="B29" s="133" t="s">
        <v>581</v>
      </c>
      <c r="C29" s="150" t="s">
        <v>566</v>
      </c>
      <c r="D29" s="134" t="s">
        <v>41</v>
      </c>
      <c r="E29" s="131" t="s">
        <v>582</v>
      </c>
      <c r="F29" s="46" t="s">
        <v>578</v>
      </c>
      <c r="G29" s="8" t="s">
        <v>14</v>
      </c>
      <c r="H29" s="8" t="s">
        <v>14</v>
      </c>
      <c r="I29" s="46" t="s">
        <v>40</v>
      </c>
      <c r="J29" s="93" t="s">
        <v>852</v>
      </c>
      <c r="K29" s="15" t="s">
        <v>17</v>
      </c>
      <c r="L29" s="15">
        <v>1</v>
      </c>
      <c r="M29" s="16" t="s">
        <v>583</v>
      </c>
    </row>
    <row r="30" spans="1:13" ht="30" outlineLevel="1" x14ac:dyDescent="0.25">
      <c r="A30" s="94"/>
      <c r="B30" s="133"/>
      <c r="C30" s="151"/>
      <c r="D30" s="135"/>
      <c r="E30" s="132"/>
      <c r="F30" s="22"/>
      <c r="G30" s="8" t="s">
        <v>14</v>
      </c>
      <c r="H30" s="8" t="s">
        <v>14</v>
      </c>
      <c r="I30" s="8" t="s">
        <v>14</v>
      </c>
      <c r="J30" s="93" t="s">
        <v>853</v>
      </c>
      <c r="K30" s="15" t="s">
        <v>17</v>
      </c>
      <c r="L30" s="15">
        <v>2</v>
      </c>
      <c r="M30" s="16" t="s">
        <v>584</v>
      </c>
    </row>
    <row r="31" spans="1:13" x14ac:dyDescent="0.25">
      <c r="A31" s="94" t="str">
        <f>B29</f>
        <v>MP046</v>
      </c>
      <c r="B31" s="133"/>
      <c r="C31" s="152"/>
      <c r="D31" s="136"/>
      <c r="E31" s="19" t="s">
        <v>22</v>
      </c>
      <c r="F31" s="24" t="str">
        <f>IF(F30="Sim","Nível 3","Nível 1")</f>
        <v>Nível 1</v>
      </c>
      <c r="G31" s="8" t="s">
        <v>14</v>
      </c>
      <c r="H31" s="8" t="s">
        <v>14</v>
      </c>
      <c r="I31" s="25" t="str">
        <f>F31</f>
        <v>Nível 1</v>
      </c>
    </row>
  </sheetData>
  <mergeCells count="19">
    <mergeCell ref="B9:B15"/>
    <mergeCell ref="C9:C15"/>
    <mergeCell ref="D9:D15"/>
    <mergeCell ref="F2:H2"/>
    <mergeCell ref="E4:E6"/>
    <mergeCell ref="G4:G6"/>
    <mergeCell ref="H4:H6"/>
    <mergeCell ref="F8:H8"/>
    <mergeCell ref="B17:B23"/>
    <mergeCell ref="C17:C23"/>
    <mergeCell ref="D17:D23"/>
    <mergeCell ref="B25:B27"/>
    <mergeCell ref="C25:C27"/>
    <mergeCell ref="D25:D27"/>
    <mergeCell ref="B29:B31"/>
    <mergeCell ref="C29:C31"/>
    <mergeCell ref="D29:D31"/>
    <mergeCell ref="E25:E26"/>
    <mergeCell ref="E29:E30"/>
  </mergeCells>
  <pageMargins left="0.25" right="0.25" top="0.75" bottom="0.75" header="0.3" footer="0.3"/>
  <pageSetup paperSize="9" scale="50" orientation="landscape" r:id="rId1"/>
  <rowBreaks count="1" manualBreakCount="1">
    <brk id="23" max="12"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5"/>
  <sheetViews>
    <sheetView showGridLines="0" zoomScale="80" zoomScaleNormal="80" workbookViewId="0"/>
  </sheetViews>
  <sheetFormatPr defaultRowHeight="15" outlineLevelRow="1" outlineLevelCol="1" x14ac:dyDescent="0.25"/>
  <cols>
    <col min="1" max="1" width="1.42578125" customWidth="1"/>
    <col min="2" max="2" width="10.5703125" bestFit="1" customWidth="1"/>
    <col min="3" max="3" width="14.140625" customWidth="1"/>
    <col min="4" max="4" width="13.85546875" bestFit="1" customWidth="1"/>
    <col min="5" max="5" width="68.42578125" customWidth="1" outlineLevel="1"/>
    <col min="6" max="6" width="18.85546875" customWidth="1" outlineLevel="1"/>
    <col min="7" max="8" width="16.7109375" customWidth="1" outlineLevel="1"/>
    <col min="9" max="9" width="19" customWidth="1"/>
    <col min="10" max="10" width="1.42578125" style="87" customWidth="1"/>
    <col min="11" max="11" width="8.42578125" customWidth="1" outlineLevel="1"/>
    <col min="12" max="12" width="9.7109375" bestFit="1" customWidth="1" outlineLevel="1"/>
    <col min="13" max="13" width="82.5703125" customWidth="1" outlineLevel="1"/>
  </cols>
  <sheetData>
    <row r="1" spans="1:13" x14ac:dyDescent="0.25">
      <c r="A1" s="4" t="s">
        <v>154</v>
      </c>
      <c r="F1" s="3"/>
      <c r="G1" s="3"/>
      <c r="H1" s="3"/>
    </row>
    <row r="2" spans="1:13" x14ac:dyDescent="0.25">
      <c r="A2" s="32" t="s">
        <v>514</v>
      </c>
      <c r="F2" s="137" t="s">
        <v>32</v>
      </c>
      <c r="G2" s="138"/>
      <c r="H2" s="139"/>
    </row>
    <row r="3" spans="1:13" x14ac:dyDescent="0.25">
      <c r="A3" s="32" t="s">
        <v>153</v>
      </c>
      <c r="E3" s="28" t="s">
        <v>38</v>
      </c>
      <c r="F3" s="29" t="s">
        <v>33</v>
      </c>
      <c r="G3" s="30" t="s">
        <v>34</v>
      </c>
      <c r="H3" s="31" t="s">
        <v>35</v>
      </c>
    </row>
    <row r="4" spans="1:13" x14ac:dyDescent="0.25">
      <c r="A4" s="4"/>
      <c r="E4" s="140" t="s">
        <v>39</v>
      </c>
      <c r="F4" s="7" t="s">
        <v>15</v>
      </c>
      <c r="G4" s="142" t="s">
        <v>36</v>
      </c>
      <c r="H4" s="145" t="s">
        <v>37</v>
      </c>
    </row>
    <row r="5" spans="1:13" x14ac:dyDescent="0.25">
      <c r="A5" s="4"/>
      <c r="E5" s="140"/>
      <c r="F5" s="7" t="s">
        <v>16</v>
      </c>
      <c r="G5" s="143"/>
      <c r="H5" s="146"/>
    </row>
    <row r="6" spans="1:13" x14ac:dyDescent="0.25">
      <c r="A6" s="4"/>
      <c r="E6" s="140"/>
      <c r="F6" s="7" t="s">
        <v>102</v>
      </c>
      <c r="G6" s="144"/>
      <c r="H6" s="147"/>
    </row>
    <row r="7" spans="1:13" ht="6" customHeight="1" x14ac:dyDescent="0.25"/>
    <row r="8" spans="1:13" s="113" customFormat="1" ht="39.75" customHeight="1" x14ac:dyDescent="0.25">
      <c r="B8" s="114" t="s">
        <v>0</v>
      </c>
      <c r="C8" s="114" t="s">
        <v>2</v>
      </c>
      <c r="D8" s="114" t="s">
        <v>6</v>
      </c>
      <c r="E8" s="114" t="s">
        <v>11</v>
      </c>
      <c r="F8" s="141" t="s">
        <v>12</v>
      </c>
      <c r="G8" s="141"/>
      <c r="H8" s="141"/>
      <c r="I8" s="115" t="s">
        <v>13</v>
      </c>
      <c r="J8" s="111"/>
      <c r="K8" s="115" t="s">
        <v>19</v>
      </c>
      <c r="L8" s="114" t="s">
        <v>4</v>
      </c>
      <c r="M8" s="114" t="s">
        <v>25</v>
      </c>
    </row>
    <row r="9" spans="1:13" ht="105" outlineLevel="1" x14ac:dyDescent="0.25">
      <c r="B9" s="133" t="s">
        <v>515</v>
      </c>
      <c r="C9" s="125" t="s">
        <v>516</v>
      </c>
      <c r="D9" s="133" t="s">
        <v>7</v>
      </c>
      <c r="E9" s="16" t="s">
        <v>517</v>
      </c>
      <c r="F9" s="46" t="s">
        <v>518</v>
      </c>
      <c r="G9" s="46" t="s">
        <v>9</v>
      </c>
      <c r="H9" s="46" t="s">
        <v>10</v>
      </c>
      <c r="I9" s="46" t="s">
        <v>40</v>
      </c>
      <c r="J9" s="109" t="s">
        <v>854</v>
      </c>
      <c r="K9" s="15" t="s">
        <v>17</v>
      </c>
      <c r="L9" s="15">
        <v>1</v>
      </c>
      <c r="M9" s="16" t="s">
        <v>21</v>
      </c>
    </row>
    <row r="10" spans="1:13" ht="105" outlineLevel="1" x14ac:dyDescent="0.25">
      <c r="B10" s="133"/>
      <c r="C10" s="125"/>
      <c r="D10" s="133"/>
      <c r="E10" s="20" t="s">
        <v>519</v>
      </c>
      <c r="F10" s="22"/>
      <c r="G10" s="22"/>
      <c r="H10" s="22"/>
      <c r="I10" s="15" t="s">
        <v>14</v>
      </c>
      <c r="J10" s="109" t="s">
        <v>855</v>
      </c>
      <c r="K10" s="15" t="s">
        <v>17</v>
      </c>
      <c r="L10" s="15">
        <v>2</v>
      </c>
      <c r="M10" s="16" t="s">
        <v>20</v>
      </c>
    </row>
    <row r="11" spans="1:13" ht="105" outlineLevel="1" x14ac:dyDescent="0.25">
      <c r="B11" s="133"/>
      <c r="C11" s="125"/>
      <c r="D11" s="133"/>
      <c r="E11" s="20" t="s">
        <v>520</v>
      </c>
      <c r="F11" s="22"/>
      <c r="G11" s="22"/>
      <c r="H11" s="22"/>
      <c r="I11" s="15" t="s">
        <v>14</v>
      </c>
      <c r="J11" s="109" t="s">
        <v>856</v>
      </c>
      <c r="K11" s="15" t="s">
        <v>18</v>
      </c>
      <c r="L11" s="15">
        <v>3</v>
      </c>
      <c r="M11" s="16" t="s">
        <v>26</v>
      </c>
    </row>
    <row r="12" spans="1:13" ht="30" outlineLevel="1" x14ac:dyDescent="0.25">
      <c r="B12" s="133"/>
      <c r="C12" s="125"/>
      <c r="D12" s="133"/>
      <c r="E12" s="20" t="s">
        <v>521</v>
      </c>
      <c r="F12" s="22"/>
      <c r="G12" s="22"/>
      <c r="H12" s="22"/>
      <c r="I12" s="8" t="s">
        <v>14</v>
      </c>
    </row>
    <row r="13" spans="1:13" outlineLevel="1" x14ac:dyDescent="0.25">
      <c r="B13" s="133"/>
      <c r="C13" s="125"/>
      <c r="D13" s="133"/>
      <c r="E13" s="20" t="s">
        <v>522</v>
      </c>
      <c r="F13" s="22"/>
      <c r="G13" s="22"/>
      <c r="H13" s="22"/>
      <c r="I13" s="8" t="s">
        <v>14</v>
      </c>
    </row>
    <row r="14" spans="1:13" ht="45" outlineLevel="1" x14ac:dyDescent="0.25">
      <c r="B14" s="133"/>
      <c r="C14" s="125"/>
      <c r="D14" s="133"/>
      <c r="E14" s="20" t="s">
        <v>523</v>
      </c>
      <c r="F14" s="22"/>
      <c r="G14" s="22"/>
      <c r="H14" s="22"/>
      <c r="I14" s="8" t="s">
        <v>14</v>
      </c>
    </row>
    <row r="15" spans="1:13" ht="30" outlineLevel="1" x14ac:dyDescent="0.25">
      <c r="B15" s="133"/>
      <c r="C15" s="125"/>
      <c r="D15" s="133"/>
      <c r="E15" s="20" t="s">
        <v>524</v>
      </c>
      <c r="F15" s="22"/>
      <c r="G15" s="22"/>
      <c r="H15" s="22"/>
      <c r="I15" s="8" t="s">
        <v>14</v>
      </c>
    </row>
    <row r="16" spans="1:13" outlineLevel="1" x14ac:dyDescent="0.25">
      <c r="B16" s="133"/>
      <c r="C16" s="125"/>
      <c r="D16" s="133"/>
      <c r="E16" s="18" t="s">
        <v>24</v>
      </c>
      <c r="F16" s="23">
        <f>COUNTIF(F10:F15,"Sim")</f>
        <v>0</v>
      </c>
      <c r="G16" s="23">
        <f>COUNTIF(G10:G15,"Sim")</f>
        <v>0</v>
      </c>
      <c r="H16" s="23">
        <f>COUNTIF(H10:H15,"Sim")</f>
        <v>0</v>
      </c>
      <c r="I16" s="8" t="s">
        <v>14</v>
      </c>
    </row>
    <row r="17" spans="1:13" x14ac:dyDescent="0.25">
      <c r="A17" s="94" t="str">
        <f>B9</f>
        <v>MP047</v>
      </c>
      <c r="B17" s="133"/>
      <c r="C17" s="125"/>
      <c r="D17" s="133"/>
      <c r="E17" s="19" t="s">
        <v>22</v>
      </c>
      <c r="F17" s="24" t="str">
        <f>IF(F16=6,"Nível 2 ou 3","Nível 1")</f>
        <v>Nível 1</v>
      </c>
      <c r="G17" s="24" t="str">
        <f>IF(SUM(G16:H16)=12,"Nível 3","Nível 2")</f>
        <v>Nível 2</v>
      </c>
      <c r="H17" s="11" t="s">
        <v>14</v>
      </c>
      <c r="I17" s="25" t="str">
        <f>IF(F17="Nível 1",F17,G17)</f>
        <v>Nível 1</v>
      </c>
    </row>
    <row r="18" spans="1:13" x14ac:dyDescent="0.25">
      <c r="A18" s="94"/>
    </row>
    <row r="19" spans="1:13" ht="105" outlineLevel="1" x14ac:dyDescent="0.25">
      <c r="A19" s="94"/>
      <c r="B19" s="133" t="s">
        <v>525</v>
      </c>
      <c r="C19" s="125" t="s">
        <v>516</v>
      </c>
      <c r="D19" s="133" t="s">
        <v>41</v>
      </c>
      <c r="E19" s="16" t="s">
        <v>526</v>
      </c>
      <c r="F19" s="46" t="s">
        <v>43</v>
      </c>
      <c r="G19" s="46" t="s">
        <v>48</v>
      </c>
      <c r="H19" s="15" t="s">
        <v>14</v>
      </c>
      <c r="I19" s="46" t="s">
        <v>40</v>
      </c>
      <c r="J19" s="109" t="s">
        <v>857</v>
      </c>
      <c r="K19" s="15" t="s">
        <v>17</v>
      </c>
      <c r="L19" s="15">
        <v>1</v>
      </c>
      <c r="M19" s="16" t="s">
        <v>527</v>
      </c>
    </row>
    <row r="20" spans="1:13" ht="105" outlineLevel="1" x14ac:dyDescent="0.25">
      <c r="A20" s="94"/>
      <c r="B20" s="133"/>
      <c r="C20" s="125"/>
      <c r="D20" s="133"/>
      <c r="E20" s="16" t="s">
        <v>528</v>
      </c>
      <c r="F20" s="22"/>
      <c r="G20" s="22"/>
      <c r="H20" s="15" t="s">
        <v>14</v>
      </c>
      <c r="I20" s="15" t="s">
        <v>14</v>
      </c>
      <c r="J20" s="109" t="s">
        <v>858</v>
      </c>
      <c r="K20" s="15" t="s">
        <v>17</v>
      </c>
      <c r="L20" s="15">
        <v>2</v>
      </c>
      <c r="M20" s="16" t="s">
        <v>49</v>
      </c>
    </row>
    <row r="21" spans="1:13" ht="105" outlineLevel="1" x14ac:dyDescent="0.25">
      <c r="A21" s="94"/>
      <c r="B21" s="133"/>
      <c r="C21" s="125"/>
      <c r="D21" s="133"/>
      <c r="E21" s="16" t="s">
        <v>529</v>
      </c>
      <c r="F21" s="22"/>
      <c r="G21" s="22"/>
      <c r="H21" s="15" t="s">
        <v>14</v>
      </c>
      <c r="I21" s="15" t="s">
        <v>14</v>
      </c>
      <c r="J21" s="109" t="s">
        <v>859</v>
      </c>
      <c r="K21" s="15" t="s">
        <v>18</v>
      </c>
      <c r="L21" s="15">
        <v>3</v>
      </c>
      <c r="M21" s="16" t="s">
        <v>50</v>
      </c>
    </row>
    <row r="22" spans="1:13" ht="45" outlineLevel="1" x14ac:dyDescent="0.25">
      <c r="A22" s="94"/>
      <c r="B22" s="133"/>
      <c r="C22" s="125"/>
      <c r="D22" s="133"/>
      <c r="E22" s="16" t="s">
        <v>530</v>
      </c>
      <c r="F22" s="22"/>
      <c r="G22" s="22"/>
      <c r="H22" s="15" t="s">
        <v>14</v>
      </c>
      <c r="I22" s="8" t="s">
        <v>14</v>
      </c>
    </row>
    <row r="23" spans="1:13" ht="30" outlineLevel="1" x14ac:dyDescent="0.25">
      <c r="A23" s="94"/>
      <c r="B23" s="133"/>
      <c r="C23" s="125"/>
      <c r="D23" s="133"/>
      <c r="E23" s="16" t="s">
        <v>531</v>
      </c>
      <c r="F23" s="22"/>
      <c r="G23" s="22"/>
      <c r="H23" s="15" t="s">
        <v>14</v>
      </c>
      <c r="I23" s="8" t="s">
        <v>14</v>
      </c>
    </row>
    <row r="24" spans="1:13" outlineLevel="1" x14ac:dyDescent="0.25">
      <c r="A24" s="94"/>
      <c r="B24" s="133"/>
      <c r="C24" s="125"/>
      <c r="D24" s="133"/>
      <c r="E24" s="16" t="s">
        <v>532</v>
      </c>
      <c r="F24" s="22"/>
      <c r="G24" s="22"/>
      <c r="H24" s="15" t="s">
        <v>14</v>
      </c>
      <c r="I24" s="8" t="s">
        <v>14</v>
      </c>
    </row>
    <row r="25" spans="1:13" outlineLevel="1" x14ac:dyDescent="0.25">
      <c r="A25" s="94"/>
      <c r="B25" s="133"/>
      <c r="C25" s="125"/>
      <c r="D25" s="133"/>
      <c r="E25" s="18" t="s">
        <v>24</v>
      </c>
      <c r="F25" s="23">
        <f>COUNTIF(F20:F24,"Sim")</f>
        <v>0</v>
      </c>
      <c r="G25" s="23">
        <f>COUNTIF(G20:G24,"Sim")</f>
        <v>0</v>
      </c>
      <c r="H25" s="15" t="s">
        <v>14</v>
      </c>
      <c r="I25" s="8" t="s">
        <v>14</v>
      </c>
    </row>
    <row r="26" spans="1:13" x14ac:dyDescent="0.25">
      <c r="A26" s="94" t="str">
        <f>B19</f>
        <v>MP048</v>
      </c>
      <c r="B26" s="133"/>
      <c r="C26" s="125"/>
      <c r="D26" s="133"/>
      <c r="E26" s="19" t="s">
        <v>22</v>
      </c>
      <c r="F26" s="24" t="str">
        <f>IF(F25=5,"Nível 3","Nível 1")</f>
        <v>Nível 1</v>
      </c>
      <c r="G26" s="24" t="str">
        <f>IF(SUM(G25)=5,"Nível 3","Nível 2")</f>
        <v>Nível 2</v>
      </c>
      <c r="H26" s="8" t="s">
        <v>14</v>
      </c>
      <c r="I26" s="25" t="str">
        <f>IF(F26="Nível 1",F26,G26)</f>
        <v>Nível 1</v>
      </c>
    </row>
    <row r="27" spans="1:13" x14ac:dyDescent="0.25">
      <c r="A27" s="94"/>
    </row>
    <row r="28" spans="1:13" ht="215.25" customHeight="1" outlineLevel="1" x14ac:dyDescent="0.25">
      <c r="A28" s="94"/>
      <c r="B28" s="133" t="s">
        <v>533</v>
      </c>
      <c r="C28" s="150" t="s">
        <v>516</v>
      </c>
      <c r="D28" s="133" t="s">
        <v>7</v>
      </c>
      <c r="E28" s="131" t="s">
        <v>534</v>
      </c>
      <c r="F28" s="46" t="s">
        <v>535</v>
      </c>
      <c r="G28" s="8" t="s">
        <v>14</v>
      </c>
      <c r="H28" s="8" t="s">
        <v>14</v>
      </c>
      <c r="I28" s="46" t="s">
        <v>40</v>
      </c>
      <c r="J28" s="87" t="s">
        <v>860</v>
      </c>
      <c r="K28" s="15" t="s">
        <v>17</v>
      </c>
      <c r="L28" s="15">
        <v>1</v>
      </c>
      <c r="M28" s="16" t="s">
        <v>536</v>
      </c>
    </row>
    <row r="29" spans="1:13" outlineLevel="1" x14ac:dyDescent="0.25">
      <c r="A29" s="94"/>
      <c r="B29" s="133"/>
      <c r="C29" s="151"/>
      <c r="D29" s="133"/>
      <c r="E29" s="132"/>
      <c r="F29" s="56"/>
      <c r="G29" s="8" t="s">
        <v>14</v>
      </c>
      <c r="H29" s="8" t="s">
        <v>14</v>
      </c>
      <c r="I29" s="8" t="s">
        <v>14</v>
      </c>
    </row>
    <row r="30" spans="1:13" x14ac:dyDescent="0.25">
      <c r="A30" s="94" t="str">
        <f>B28</f>
        <v>MP049</v>
      </c>
      <c r="B30" s="133"/>
      <c r="C30" s="152"/>
      <c r="D30" s="133"/>
      <c r="E30" s="19" t="s">
        <v>22</v>
      </c>
      <c r="F30" s="24" t="str">
        <f>IF(F29="Sim","Nível 3","Nível 1")</f>
        <v>Nível 1</v>
      </c>
      <c r="G30" s="8" t="s">
        <v>14</v>
      </c>
      <c r="H30" s="8" t="s">
        <v>14</v>
      </c>
      <c r="I30" s="25" t="str">
        <f>F30</f>
        <v>Nível 1</v>
      </c>
    </row>
    <row r="31" spans="1:13" x14ac:dyDescent="0.25">
      <c r="A31" s="94"/>
    </row>
    <row r="32" spans="1:13" ht="136.5" customHeight="1" outlineLevel="1" x14ac:dyDescent="0.25">
      <c r="A32" s="94"/>
      <c r="B32" s="133" t="s">
        <v>537</v>
      </c>
      <c r="C32" s="150" t="s">
        <v>516</v>
      </c>
      <c r="D32" s="134" t="s">
        <v>7</v>
      </c>
      <c r="E32" s="131" t="s">
        <v>538</v>
      </c>
      <c r="F32" s="46" t="s">
        <v>539</v>
      </c>
      <c r="G32" s="8" t="s">
        <v>14</v>
      </c>
      <c r="H32" s="8" t="s">
        <v>14</v>
      </c>
      <c r="I32" s="46" t="s">
        <v>40</v>
      </c>
      <c r="J32" s="87" t="s">
        <v>861</v>
      </c>
      <c r="K32" s="15" t="s">
        <v>17</v>
      </c>
      <c r="L32" s="15">
        <v>1</v>
      </c>
      <c r="M32" s="16" t="s">
        <v>540</v>
      </c>
    </row>
    <row r="33" spans="1:13" outlineLevel="1" x14ac:dyDescent="0.25">
      <c r="A33" s="94"/>
      <c r="B33" s="133"/>
      <c r="C33" s="151"/>
      <c r="D33" s="135"/>
      <c r="E33" s="132"/>
      <c r="F33" s="22"/>
      <c r="G33" s="8" t="s">
        <v>14</v>
      </c>
      <c r="H33" s="8" t="s">
        <v>14</v>
      </c>
      <c r="I33" s="8" t="s">
        <v>14</v>
      </c>
    </row>
    <row r="34" spans="1:13" x14ac:dyDescent="0.25">
      <c r="A34" s="94" t="str">
        <f>B32</f>
        <v>MP050</v>
      </c>
      <c r="B34" s="133"/>
      <c r="C34" s="152"/>
      <c r="D34" s="136"/>
      <c r="E34" s="19" t="s">
        <v>22</v>
      </c>
      <c r="F34" s="24" t="str">
        <f>IF(F33="Sim","Nível 3","Nível 1")</f>
        <v>Nível 1</v>
      </c>
      <c r="G34" s="8" t="s">
        <v>14</v>
      </c>
      <c r="H34" s="8" t="s">
        <v>14</v>
      </c>
      <c r="I34" s="25" t="str">
        <f>F34</f>
        <v>Nível 1</v>
      </c>
    </row>
    <row r="35" spans="1:13" x14ac:dyDescent="0.25">
      <c r="A35" s="94"/>
    </row>
    <row r="36" spans="1:13" ht="45" customHeight="1" outlineLevel="1" x14ac:dyDescent="0.25">
      <c r="A36" s="94"/>
      <c r="B36" s="133" t="s">
        <v>541</v>
      </c>
      <c r="C36" s="150" t="s">
        <v>516</v>
      </c>
      <c r="D36" s="133" t="s">
        <v>51</v>
      </c>
      <c r="E36" s="131" t="s">
        <v>542</v>
      </c>
      <c r="F36" s="46" t="s">
        <v>330</v>
      </c>
      <c r="G36" s="8" t="s">
        <v>14</v>
      </c>
      <c r="H36" s="8" t="s">
        <v>14</v>
      </c>
      <c r="I36" s="46" t="s">
        <v>40</v>
      </c>
      <c r="J36" s="88" t="s">
        <v>862</v>
      </c>
      <c r="K36" s="15" t="s">
        <v>17</v>
      </c>
      <c r="L36" s="15">
        <v>1</v>
      </c>
      <c r="M36" s="16" t="s">
        <v>543</v>
      </c>
    </row>
    <row r="37" spans="1:13" outlineLevel="1" x14ac:dyDescent="0.25">
      <c r="A37" s="94"/>
      <c r="B37" s="133"/>
      <c r="C37" s="151"/>
      <c r="D37" s="133"/>
      <c r="E37" s="132"/>
      <c r="F37" s="10"/>
      <c r="G37" s="8" t="s">
        <v>14</v>
      </c>
      <c r="H37" s="8" t="s">
        <v>14</v>
      </c>
      <c r="I37" s="9" t="s">
        <v>14</v>
      </c>
      <c r="J37" s="89"/>
      <c r="L37" s="6"/>
      <c r="M37" s="2"/>
    </row>
    <row r="38" spans="1:13" x14ac:dyDescent="0.25">
      <c r="A38" s="94" t="str">
        <f>B36</f>
        <v>MP051</v>
      </c>
      <c r="B38" s="133"/>
      <c r="C38" s="152"/>
      <c r="D38" s="133"/>
      <c r="E38" s="19" t="s">
        <v>22</v>
      </c>
      <c r="F38" s="24" t="str">
        <f>IF(F37="Sim","Nível 3","Nível 1")</f>
        <v>Nível 1</v>
      </c>
      <c r="G38" s="11" t="s">
        <v>14</v>
      </c>
      <c r="H38" s="11" t="s">
        <v>14</v>
      </c>
      <c r="I38" s="14" t="str">
        <f>F38</f>
        <v>Nível 1</v>
      </c>
      <c r="L38" s="6"/>
      <c r="M38" s="2"/>
    </row>
    <row r="39" spans="1:13" x14ac:dyDescent="0.25">
      <c r="A39" s="94"/>
    </row>
    <row r="40" spans="1:13" ht="161.25" customHeight="1" outlineLevel="1" x14ac:dyDescent="0.25">
      <c r="A40" s="94"/>
      <c r="B40" s="133" t="s">
        <v>544</v>
      </c>
      <c r="C40" s="150" t="s">
        <v>516</v>
      </c>
      <c r="D40" s="133" t="s">
        <v>7</v>
      </c>
      <c r="E40" s="131" t="s">
        <v>545</v>
      </c>
      <c r="F40" s="46" t="s">
        <v>592</v>
      </c>
      <c r="G40" s="46" t="s">
        <v>594</v>
      </c>
      <c r="H40" s="54" t="s">
        <v>593</v>
      </c>
      <c r="I40" s="46" t="s">
        <v>40</v>
      </c>
      <c r="J40" s="88" t="s">
        <v>863</v>
      </c>
      <c r="K40" s="15" t="s">
        <v>17</v>
      </c>
      <c r="L40" s="15">
        <v>1</v>
      </c>
      <c r="M40" s="16" t="s">
        <v>546</v>
      </c>
    </row>
    <row r="41" spans="1:13" ht="82.5" customHeight="1" outlineLevel="1" x14ac:dyDescent="0.25">
      <c r="A41" s="94"/>
      <c r="B41" s="133"/>
      <c r="C41" s="151"/>
      <c r="D41" s="133"/>
      <c r="E41" s="132"/>
      <c r="F41" s="10"/>
      <c r="G41" s="10"/>
      <c r="H41" s="10"/>
      <c r="I41" s="46"/>
      <c r="J41" s="88" t="s">
        <v>864</v>
      </c>
      <c r="K41" s="15" t="s">
        <v>17</v>
      </c>
      <c r="L41" s="15">
        <v>2</v>
      </c>
      <c r="M41" s="16" t="s">
        <v>548</v>
      </c>
    </row>
    <row r="42" spans="1:13" ht="42.75" customHeight="1" outlineLevel="1" x14ac:dyDescent="0.25">
      <c r="A42" s="94"/>
      <c r="B42" s="133"/>
      <c r="C42" s="151"/>
      <c r="D42" s="133"/>
      <c r="E42" s="18" t="s">
        <v>24</v>
      </c>
      <c r="F42" s="155">
        <f>COUNTIF(F41:G41,"Sim")</f>
        <v>0</v>
      </c>
      <c r="G42" s="156"/>
      <c r="H42" s="23">
        <f>COUNTIF(H41,"Sim")</f>
        <v>0</v>
      </c>
      <c r="I42" s="54"/>
      <c r="J42" s="88" t="s">
        <v>865</v>
      </c>
      <c r="K42" s="15" t="s">
        <v>18</v>
      </c>
      <c r="L42" s="15">
        <v>3</v>
      </c>
      <c r="M42" s="16" t="s">
        <v>547</v>
      </c>
    </row>
    <row r="43" spans="1:13" x14ac:dyDescent="0.25">
      <c r="A43" s="94" t="str">
        <f>B40</f>
        <v>MP052</v>
      </c>
      <c r="B43" s="133"/>
      <c r="C43" s="152"/>
      <c r="D43" s="133"/>
      <c r="E43" s="19" t="s">
        <v>22</v>
      </c>
      <c r="F43" s="153" t="str">
        <f>IF(F42=2,"Nível 2 ou 3","Nível 1")</f>
        <v>Nível 1</v>
      </c>
      <c r="G43" s="154"/>
      <c r="H43" s="24" t="str">
        <f>IF(H42=1,"Nível 3","Nível 2")</f>
        <v>Nível 2</v>
      </c>
      <c r="I43" s="14" t="str">
        <f>IF(F43="Nível 1",F43,H43)</f>
        <v>Nível 1</v>
      </c>
    </row>
    <row r="44" spans="1:13" x14ac:dyDescent="0.25">
      <c r="A44" s="94"/>
    </row>
    <row r="45" spans="1:13" ht="168.75" customHeight="1" outlineLevel="1" x14ac:dyDescent="0.25">
      <c r="A45" s="94"/>
      <c r="B45" s="133" t="s">
        <v>549</v>
      </c>
      <c r="C45" s="150" t="s">
        <v>516</v>
      </c>
      <c r="D45" s="133" t="s">
        <v>7</v>
      </c>
      <c r="E45" s="131" t="s">
        <v>550</v>
      </c>
      <c r="F45" s="46" t="s">
        <v>551</v>
      </c>
      <c r="G45" s="8" t="s">
        <v>14</v>
      </c>
      <c r="H45" s="8" t="s">
        <v>14</v>
      </c>
      <c r="I45" s="46" t="s">
        <v>40</v>
      </c>
      <c r="J45" s="88" t="s">
        <v>866</v>
      </c>
      <c r="K45" s="15" t="s">
        <v>17</v>
      </c>
      <c r="L45" s="15">
        <v>1</v>
      </c>
      <c r="M45" s="16" t="s">
        <v>552</v>
      </c>
    </row>
    <row r="46" spans="1:13" outlineLevel="1" x14ac:dyDescent="0.25">
      <c r="A46" s="94"/>
      <c r="B46" s="133"/>
      <c r="C46" s="151"/>
      <c r="D46" s="133"/>
      <c r="E46" s="132"/>
      <c r="F46" s="10"/>
      <c r="G46" s="8" t="s">
        <v>14</v>
      </c>
      <c r="H46" s="8" t="s">
        <v>14</v>
      </c>
      <c r="I46" s="9" t="s">
        <v>14</v>
      </c>
      <c r="J46" s="89"/>
    </row>
    <row r="47" spans="1:13" x14ac:dyDescent="0.25">
      <c r="A47" s="94" t="str">
        <f>B45</f>
        <v>MP053</v>
      </c>
      <c r="B47" s="133"/>
      <c r="C47" s="152"/>
      <c r="D47" s="133"/>
      <c r="E47" s="19" t="s">
        <v>22</v>
      </c>
      <c r="F47" s="24" t="str">
        <f>IF(F46="Sim","Nível 3","Nível 1")</f>
        <v>Nível 1</v>
      </c>
      <c r="G47" s="11" t="s">
        <v>14</v>
      </c>
      <c r="H47" s="11" t="s">
        <v>14</v>
      </c>
      <c r="I47" s="25" t="str">
        <f>F47</f>
        <v>Nível 1</v>
      </c>
      <c r="L47" s="6"/>
      <c r="M47" s="2"/>
    </row>
    <row r="48" spans="1:13" x14ac:dyDescent="0.25">
      <c r="A48" s="94"/>
    </row>
    <row r="49" spans="1:13" ht="192" customHeight="1" outlineLevel="1" x14ac:dyDescent="0.25">
      <c r="A49" s="94"/>
      <c r="B49" s="133" t="s">
        <v>553</v>
      </c>
      <c r="C49" s="150" t="s">
        <v>516</v>
      </c>
      <c r="D49" s="133" t="s">
        <v>51</v>
      </c>
      <c r="E49" s="131" t="s">
        <v>554</v>
      </c>
      <c r="F49" s="46" t="s">
        <v>555</v>
      </c>
      <c r="G49" s="54" t="s">
        <v>595</v>
      </c>
      <c r="H49" s="8" t="s">
        <v>14</v>
      </c>
      <c r="I49" s="46" t="s">
        <v>40</v>
      </c>
      <c r="J49" s="88" t="s">
        <v>867</v>
      </c>
      <c r="K49" s="15" t="s">
        <v>17</v>
      </c>
      <c r="L49" s="15">
        <v>1</v>
      </c>
      <c r="M49" s="16" t="s">
        <v>556</v>
      </c>
    </row>
    <row r="50" spans="1:13" outlineLevel="1" x14ac:dyDescent="0.25">
      <c r="A50" s="94"/>
      <c r="B50" s="133"/>
      <c r="C50" s="151"/>
      <c r="D50" s="133"/>
      <c r="E50" s="132"/>
      <c r="F50" s="10"/>
      <c r="G50" s="10"/>
      <c r="H50" s="8" t="s">
        <v>14</v>
      </c>
      <c r="I50" s="9" t="s">
        <v>14</v>
      </c>
      <c r="J50" s="89"/>
      <c r="L50" s="6"/>
      <c r="M50" s="2"/>
    </row>
    <row r="51" spans="1:13" x14ac:dyDescent="0.25">
      <c r="A51" s="94" t="str">
        <f>B49</f>
        <v>MP054</v>
      </c>
      <c r="B51" s="133"/>
      <c r="C51" s="152"/>
      <c r="D51" s="133"/>
      <c r="E51" s="19" t="s">
        <v>22</v>
      </c>
      <c r="F51" s="24" t="str">
        <f>IF(F50="Sim","Nível 3","Nível 1")</f>
        <v>Nível 1</v>
      </c>
      <c r="G51" s="24" t="str">
        <f>IF(G50="Sim","Nível 3","Nível 1")</f>
        <v>Nível 1</v>
      </c>
      <c r="H51" s="11" t="s">
        <v>14</v>
      </c>
      <c r="I51" s="14" t="str">
        <f>IF(F51="Nível 1",F51,G51)</f>
        <v>Nível 1</v>
      </c>
      <c r="L51" s="6"/>
      <c r="M51" s="2"/>
    </row>
    <row r="52" spans="1:13" x14ac:dyDescent="0.25">
      <c r="A52" s="94"/>
    </row>
    <row r="53" spans="1:13" ht="140.25" customHeight="1" outlineLevel="1" x14ac:dyDescent="0.25">
      <c r="A53" s="94"/>
      <c r="B53" s="133" t="s">
        <v>557</v>
      </c>
      <c r="C53" s="150" t="s">
        <v>516</v>
      </c>
      <c r="D53" s="133" t="s">
        <v>51</v>
      </c>
      <c r="E53" s="131" t="s">
        <v>558</v>
      </c>
      <c r="F53" s="46" t="s">
        <v>559</v>
      </c>
      <c r="G53" s="46" t="s">
        <v>560</v>
      </c>
      <c r="H53" s="8" t="s">
        <v>14</v>
      </c>
      <c r="I53" s="46" t="s">
        <v>40</v>
      </c>
      <c r="J53" s="88" t="s">
        <v>868</v>
      </c>
      <c r="K53" s="15" t="s">
        <v>17</v>
      </c>
      <c r="L53" s="15">
        <v>1</v>
      </c>
      <c r="M53" s="16" t="s">
        <v>561</v>
      </c>
    </row>
    <row r="54" spans="1:13" ht="105" outlineLevel="1" x14ac:dyDescent="0.25">
      <c r="A54" s="94"/>
      <c r="B54" s="133"/>
      <c r="C54" s="151"/>
      <c r="D54" s="133"/>
      <c r="E54" s="132"/>
      <c r="F54" s="10"/>
      <c r="G54" s="10"/>
      <c r="H54" s="8" t="s">
        <v>14</v>
      </c>
      <c r="I54" s="9" t="s">
        <v>14</v>
      </c>
      <c r="J54" s="88" t="s">
        <v>869</v>
      </c>
      <c r="K54" s="15" t="s">
        <v>18</v>
      </c>
      <c r="L54" s="15">
        <v>2</v>
      </c>
      <c r="M54" s="16" t="s">
        <v>563</v>
      </c>
    </row>
    <row r="55" spans="1:13" ht="105" x14ac:dyDescent="0.25">
      <c r="A55" s="94" t="str">
        <f>B53</f>
        <v>MP055</v>
      </c>
      <c r="B55" s="133"/>
      <c r="C55" s="152"/>
      <c r="D55" s="133"/>
      <c r="E55" s="19" t="s">
        <v>22</v>
      </c>
      <c r="F55" s="24" t="str">
        <f>IF(F54="Sim","Nível 2 ou 3","Nível 1")</f>
        <v>Nível 1</v>
      </c>
      <c r="G55" s="24" t="str">
        <f>IF(G54="Sim","Nível 3","Nível 2")</f>
        <v>Nível 2</v>
      </c>
      <c r="H55" s="11" t="s">
        <v>14</v>
      </c>
      <c r="I55" s="25" t="str">
        <f>IF(F55="Nível 1",F55,G55)</f>
        <v>Nível 1</v>
      </c>
      <c r="J55" s="88" t="s">
        <v>870</v>
      </c>
      <c r="K55" s="15" t="s">
        <v>18</v>
      </c>
      <c r="L55" s="15">
        <v>3</v>
      </c>
      <c r="M55" s="16" t="s">
        <v>562</v>
      </c>
    </row>
  </sheetData>
  <mergeCells count="41">
    <mergeCell ref="F43:G43"/>
    <mergeCell ref="E45:E46"/>
    <mergeCell ref="E49:E50"/>
    <mergeCell ref="E53:E54"/>
    <mergeCell ref="E28:E29"/>
    <mergeCell ref="E32:E33"/>
    <mergeCell ref="E36:E37"/>
    <mergeCell ref="E40:E41"/>
    <mergeCell ref="F42:G42"/>
    <mergeCell ref="B9:B17"/>
    <mergeCell ref="C9:C17"/>
    <mergeCell ref="D9:D17"/>
    <mergeCell ref="F2:H2"/>
    <mergeCell ref="E4:E6"/>
    <mergeCell ref="G4:G6"/>
    <mergeCell ref="H4:H6"/>
    <mergeCell ref="F8:H8"/>
    <mergeCell ref="B19:B26"/>
    <mergeCell ref="C19:C26"/>
    <mergeCell ref="D19:D26"/>
    <mergeCell ref="B28:B30"/>
    <mergeCell ref="C28:C30"/>
    <mergeCell ref="D28:D30"/>
    <mergeCell ref="B32:B34"/>
    <mergeCell ref="C32:C34"/>
    <mergeCell ref="D32:D34"/>
    <mergeCell ref="B36:B38"/>
    <mergeCell ref="C36:C38"/>
    <mergeCell ref="D36:D38"/>
    <mergeCell ref="B40:B43"/>
    <mergeCell ref="C40:C43"/>
    <mergeCell ref="D40:D43"/>
    <mergeCell ref="B45:B47"/>
    <mergeCell ref="C45:C47"/>
    <mergeCell ref="D45:D47"/>
    <mergeCell ref="B49:B51"/>
    <mergeCell ref="C49:C51"/>
    <mergeCell ref="D49:D51"/>
    <mergeCell ref="B53:B55"/>
    <mergeCell ref="C53:C55"/>
    <mergeCell ref="D53:D55"/>
  </mergeCells>
  <pageMargins left="0.23622047244094491" right="0.23622047244094491" top="0.74803149606299213" bottom="0.74803149606299213" header="0.31496062992125984" footer="0.31496062992125984"/>
  <pageSetup paperSize="9" scale="50" orientation="landscape" r:id="rId1"/>
  <rowBreaks count="2" manualBreakCount="2">
    <brk id="17" max="12" man="1"/>
    <brk id="35" max="12"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31</vt:i4>
      </vt:variant>
    </vt:vector>
  </HeadingPairs>
  <TitlesOfParts>
    <vt:vector size="48" baseType="lpstr">
      <vt:lpstr>Introducao</vt:lpstr>
      <vt:lpstr>Resultados</vt:lpstr>
      <vt:lpstr>Cronograma</vt:lpstr>
      <vt:lpstr>Comercial</vt:lpstr>
      <vt:lpstr>Financeira</vt:lpstr>
      <vt:lpstr>Recursos_Humanos</vt:lpstr>
      <vt:lpstr>Suprimentos</vt:lpstr>
      <vt:lpstr>Tributária</vt:lpstr>
      <vt:lpstr>Ativos</vt:lpstr>
      <vt:lpstr>Contábil</vt:lpstr>
      <vt:lpstr>Monitoramento</vt:lpstr>
      <vt:lpstr>Cadastro_Redes</vt:lpstr>
      <vt:lpstr>Operacional</vt:lpstr>
      <vt:lpstr>Consumo_Energetico</vt:lpstr>
      <vt:lpstr>Rede_Esgoto</vt:lpstr>
      <vt:lpstr>Qualidade</vt:lpstr>
      <vt:lpstr>TI</vt:lpstr>
      <vt:lpstr>Ativos!Area_de_impressao</vt:lpstr>
      <vt:lpstr>Cadastro_Redes!Area_de_impressao</vt:lpstr>
      <vt:lpstr>Comercial!Area_de_impressao</vt:lpstr>
      <vt:lpstr>Consumo_Energetico!Area_de_impressao</vt:lpstr>
      <vt:lpstr>Contábil!Area_de_impressao</vt:lpstr>
      <vt:lpstr>Cronograma!Area_de_impressao</vt:lpstr>
      <vt:lpstr>Financeira!Area_de_impressao</vt:lpstr>
      <vt:lpstr>Introducao!Area_de_impressao</vt:lpstr>
      <vt:lpstr>Monitoramento!Area_de_impressao</vt:lpstr>
      <vt:lpstr>Operacional!Area_de_impressao</vt:lpstr>
      <vt:lpstr>Qualidade!Area_de_impressao</vt:lpstr>
      <vt:lpstr>Recursos_Humanos!Area_de_impressao</vt:lpstr>
      <vt:lpstr>Rede_Esgoto!Area_de_impressao</vt:lpstr>
      <vt:lpstr>Resultados!Area_de_impressao</vt:lpstr>
      <vt:lpstr>Suprimentos!Area_de_impressao</vt:lpstr>
      <vt:lpstr>TI!Area_de_impressao</vt:lpstr>
      <vt:lpstr>Tributária!Area_de_impressao</vt:lpstr>
      <vt:lpstr>Ativos!Titulos_de_impressao</vt:lpstr>
      <vt:lpstr>Cadastro_Redes!Titulos_de_impressao</vt:lpstr>
      <vt:lpstr>Comercial!Titulos_de_impressao</vt:lpstr>
      <vt:lpstr>Consumo_Energetico!Titulos_de_impressao</vt:lpstr>
      <vt:lpstr>Contábil!Titulos_de_impressao</vt:lpstr>
      <vt:lpstr>Financeira!Titulos_de_impressao</vt:lpstr>
      <vt:lpstr>Operacional!Titulos_de_impressao</vt:lpstr>
      <vt:lpstr>Qualidade!Titulos_de_impressao</vt:lpstr>
      <vt:lpstr>Recursos_Humanos!Titulos_de_impressao</vt:lpstr>
      <vt:lpstr>Rede_Esgoto!Titulos_de_impressao</vt:lpstr>
      <vt:lpstr>Resultados!Titulos_de_impressao</vt:lpstr>
      <vt:lpstr>Suprimentos!Titulos_de_impressao</vt:lpstr>
      <vt:lpstr>TI!Titulos_de_impressao</vt:lpstr>
      <vt:lpstr>Tributária!Titulos_de_impressao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2019-08-01T14:21:05Z</dcterms:modified>
</cp:coreProperties>
</file>